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enate.Kundzina\Documents\2018.gads\Pārskati\SPSIL\"/>
    </mc:Choice>
  </mc:AlternateContent>
  <xr:revisionPtr revIDLastSave="0" documentId="13_ncr:1_{83440F71-3003-405B-B0C8-A2335686CAE1}" xr6:coauthVersionLast="37" xr6:coauthVersionMax="37" xr10:uidLastSave="{00000000-0000-0000-0000-000000000000}"/>
  <bookViews>
    <workbookView xWindow="0" yWindow="0" windowWidth="14295" windowHeight="12660" firstSheet="6" activeTab="7" xr2:uid="{00000000-000D-0000-FFFF-FFFF00000000}"/>
  </bookViews>
  <sheets>
    <sheet name="SPSIL_2017_gads" sheetId="22" r:id="rId1"/>
    <sheet name="Satura_rādītājs_metodoloģija" sheetId="20" r:id="rId2"/>
    <sheet name="I_Kopā_2017" sheetId="1" r:id="rId3"/>
    <sheet name="II_Dinamika_sps_skaits_kopā_sum" sheetId="2" r:id="rId4"/>
    <sheet name="II_Kopējā_dinamika" sheetId="8" r:id="rId5"/>
    <sheet name="III_Virs_ES_Tab_2012_2017" sheetId="10" r:id="rId6"/>
    <sheet name="III_Virs_ES_iep_veidi_Tab_Din" sheetId="12" r:id="rId7"/>
    <sheet name="III_Virs_ES_procedūras_Tab" sheetId="19" r:id="rId8"/>
    <sheet name="III_Virs_ES_līgumu_vis.vien_Din" sheetId="11" r:id="rId9"/>
    <sheet name="III_Virs_ES_CPV_kodu_sadalījums" sheetId="16" r:id="rId10"/>
    <sheet name="III_Virs_ES_ārvalstnieki_Tab" sheetId="14" r:id="rId11"/>
    <sheet name="III_Virs_ES_ārvalstnieki_Din" sheetId="15" r:id="rId12"/>
    <sheet name="IV_Zem_Tab" sheetId="17" r:id="rId13"/>
    <sheet name="IV_Zem_Din" sheetId="18" r:id="rId14"/>
    <sheet name="V_Izņēmumi_Tab" sheetId="7" r:id="rId15"/>
    <sheet name="V_Izņēmumi_Din" sheetId="9" r:id="rId16"/>
    <sheet name="Duālo_pasūtītāju_saraksts" sheetId="6" r:id="rId17"/>
    <sheet name="Virs_ES_saraksts" sheetId="13" r:id="rId18"/>
    <sheet name="Secinājumi" sheetId="21" r:id="rId19"/>
  </sheets>
  <definedNames>
    <definedName name="_xlnm._FilterDatabase" localSheetId="10" hidden="1">III_Virs_ES_ārvalstnieki_Tab!$A$3:$L$18</definedName>
    <definedName name="_xlnm._FilterDatabase" localSheetId="5" hidden="1">III_Virs_ES_Tab_2012_2017!$A$4:$AM$24</definedName>
    <definedName name="_xlchart.v3.0" hidden="1">III_Virs_ES_ārvalstnieki_Din!$A$35:$B$48</definedName>
    <definedName name="_xlchart.v3.1" hidden="1">III_Virs_ES_ārvalstnieki_Din!$C$35:$C$48</definedName>
    <definedName name="_xlchart.v3.2" hidden="1">III_Virs_ES_ārvalstnieki_Din!$D$35:$D$48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3" i="8" l="1"/>
  <c r="C11" i="15" l="1"/>
  <c r="C10" i="15"/>
  <c r="C9" i="15"/>
  <c r="C8" i="15"/>
  <c r="C7" i="15"/>
  <c r="C6" i="15"/>
  <c r="C5" i="15"/>
  <c r="C4" i="15"/>
  <c r="F37" i="14" l="1"/>
  <c r="F35" i="14" l="1"/>
  <c r="F33" i="14"/>
  <c r="F26" i="14"/>
  <c r="E40" i="14"/>
  <c r="C40" i="14"/>
  <c r="D30" i="14" s="1"/>
  <c r="D19" i="14"/>
  <c r="E24" i="16"/>
  <c r="F18" i="16" s="1"/>
  <c r="C24" i="16"/>
  <c r="D9" i="16" s="1"/>
  <c r="F40" i="14" l="1"/>
  <c r="F17" i="16"/>
  <c r="D14" i="16"/>
  <c r="F23" i="16"/>
  <c r="D18" i="16"/>
  <c r="F13" i="16"/>
  <c r="D23" i="16"/>
  <c r="F9" i="16"/>
  <c r="D13" i="16"/>
  <c r="D17" i="16"/>
  <c r="F14" i="16"/>
  <c r="M18" i="19" l="1"/>
  <c r="M17" i="19"/>
  <c r="M16" i="19"/>
  <c r="L15" i="19"/>
  <c r="K15" i="19"/>
  <c r="L16" i="19"/>
  <c r="K16" i="19"/>
  <c r="G24" i="16" l="1"/>
  <c r="B38" i="11"/>
  <c r="G9" i="11"/>
  <c r="F9" i="11" s="1"/>
  <c r="H17" i="16" l="1"/>
  <c r="H13" i="16"/>
  <c r="H9" i="16"/>
  <c r="H14" i="16"/>
  <c r="H23" i="16"/>
  <c r="H18" i="16"/>
  <c r="C38" i="11"/>
  <c r="D9" i="11"/>
  <c r="D38" i="11"/>
  <c r="I10" i="19"/>
  <c r="L19" i="19"/>
  <c r="M15" i="19" s="1"/>
  <c r="H116" i="12" l="1"/>
  <c r="H115" i="12"/>
  <c r="H114" i="12"/>
  <c r="H113" i="12"/>
  <c r="H112" i="12"/>
  <c r="H111" i="12"/>
  <c r="H110" i="12"/>
  <c r="H117" i="12" l="1"/>
  <c r="AL34" i="10" l="1"/>
  <c r="AK34" i="10"/>
  <c r="AI34" i="10"/>
  <c r="AL33" i="10"/>
  <c r="AK33" i="10"/>
  <c r="AI33" i="10"/>
  <c r="AL32" i="10"/>
  <c r="AK32" i="10"/>
  <c r="AI32" i="10"/>
  <c r="E9" i="9" l="1"/>
  <c r="M60" i="7"/>
  <c r="M58" i="7"/>
  <c r="M57" i="7"/>
  <c r="M55" i="7"/>
  <c r="R49" i="7"/>
  <c r="Q49" i="7"/>
  <c r="R48" i="7"/>
  <c r="Q48" i="7"/>
  <c r="R47" i="7"/>
  <c r="Q47" i="7"/>
  <c r="R46" i="7"/>
  <c r="Q46" i="7"/>
  <c r="R45" i="7"/>
  <c r="Q45" i="7"/>
  <c r="R44" i="7"/>
  <c r="Q44" i="7"/>
  <c r="R43" i="7"/>
  <c r="Q43" i="7"/>
  <c r="R42" i="7"/>
  <c r="Q42" i="7"/>
  <c r="R41" i="7"/>
  <c r="Q41" i="7"/>
  <c r="R40" i="7"/>
  <c r="Q40" i="7"/>
  <c r="P50" i="7"/>
  <c r="O50" i="7"/>
  <c r="N50" i="7"/>
  <c r="M50" i="7"/>
  <c r="L50" i="7"/>
  <c r="K50" i="7"/>
  <c r="J50" i="7"/>
  <c r="I50" i="7"/>
  <c r="H50" i="7"/>
  <c r="G50" i="7"/>
  <c r="F50" i="7"/>
  <c r="E50" i="7"/>
  <c r="E21" i="7" l="1"/>
  <c r="C21" i="7"/>
  <c r="V10" i="7"/>
  <c r="U10" i="7"/>
  <c r="T10" i="7"/>
  <c r="W10" i="7" l="1"/>
  <c r="D104" i="18" l="1"/>
  <c r="C104" i="18"/>
  <c r="D103" i="18"/>
  <c r="C103" i="18"/>
  <c r="B103" i="18"/>
  <c r="D102" i="18"/>
  <c r="C102" i="18"/>
  <c r="B102" i="18"/>
  <c r="D101" i="18"/>
  <c r="C101" i="18"/>
  <c r="B101" i="18"/>
  <c r="D100" i="18"/>
  <c r="C100" i="18"/>
  <c r="B100" i="18"/>
  <c r="D99" i="18"/>
  <c r="C99" i="18"/>
  <c r="B99" i="18"/>
  <c r="D105" i="18" l="1"/>
  <c r="C105" i="18"/>
  <c r="B106" i="18"/>
  <c r="B105" i="18"/>
  <c r="D106" i="18"/>
  <c r="C106" i="18"/>
  <c r="F14" i="13" l="1"/>
  <c r="F16" i="13"/>
  <c r="F15" i="13"/>
  <c r="F11" i="13"/>
  <c r="F10" i="13"/>
  <c r="F12" i="13"/>
  <c r="F18" i="13"/>
  <c r="F19" i="13"/>
  <c r="F5" i="13"/>
  <c r="F8" i="13"/>
  <c r="F7" i="13"/>
  <c r="F6" i="13"/>
  <c r="F27" i="13"/>
  <c r="F29" i="13"/>
  <c r="F31" i="13"/>
  <c r="F30" i="13"/>
  <c r="F33" i="13"/>
  <c r="F25" i="13"/>
  <c r="F24" i="13"/>
  <c r="F23" i="13"/>
  <c r="F22" i="13"/>
  <c r="F21" i="13"/>
  <c r="J40" i="18" l="1"/>
  <c r="J39" i="18"/>
  <c r="J41" i="18"/>
  <c r="C125" i="8"/>
  <c r="B125" i="8"/>
  <c r="C65" i="8"/>
  <c r="B65" i="8"/>
  <c r="I48" i="2"/>
  <c r="I30" i="2"/>
  <c r="I44" i="1" l="1"/>
  <c r="I43" i="1"/>
  <c r="I42" i="1"/>
  <c r="I41" i="1"/>
  <c r="I40" i="1"/>
  <c r="I39" i="1"/>
  <c r="I38" i="1"/>
  <c r="I37" i="1"/>
  <c r="H44" i="1"/>
  <c r="H43" i="1"/>
  <c r="H42" i="1"/>
  <c r="H41" i="1"/>
  <c r="H40" i="1"/>
  <c r="H39" i="1"/>
  <c r="H38" i="1"/>
  <c r="H37" i="1"/>
  <c r="G44" i="1"/>
  <c r="G43" i="1"/>
  <c r="G42" i="1"/>
  <c r="G41" i="1"/>
  <c r="G40" i="1"/>
  <c r="G39" i="1"/>
  <c r="G38" i="1"/>
  <c r="G37" i="1"/>
  <c r="I6" i="1"/>
  <c r="I7" i="1"/>
  <c r="F28" i="1"/>
  <c r="F27" i="1"/>
  <c r="F26" i="1"/>
  <c r="F25" i="1"/>
  <c r="F24" i="1"/>
  <c r="F23" i="1"/>
  <c r="F22" i="1"/>
  <c r="F21" i="1"/>
  <c r="D28" i="1"/>
  <c r="D27" i="1"/>
  <c r="D26" i="1"/>
  <c r="D25" i="1"/>
  <c r="D24" i="1"/>
  <c r="D23" i="1"/>
  <c r="D22" i="1"/>
  <c r="D21" i="1"/>
  <c r="B28" i="1"/>
  <c r="H28" i="1" s="1"/>
  <c r="B27" i="1"/>
  <c r="H27" i="1" s="1"/>
  <c r="B26" i="1"/>
  <c r="H26" i="1" s="1"/>
  <c r="B25" i="1"/>
  <c r="H25" i="1" s="1"/>
  <c r="B24" i="1"/>
  <c r="H24" i="1" s="1"/>
  <c r="B23" i="1"/>
  <c r="H23" i="1" s="1"/>
  <c r="B22" i="1"/>
  <c r="H22" i="1" s="1"/>
  <c r="B21" i="1"/>
  <c r="H21" i="1" s="1"/>
  <c r="I8" i="1"/>
  <c r="I11" i="1"/>
  <c r="I9" i="1"/>
  <c r="I12" i="1"/>
  <c r="I13" i="1"/>
  <c r="I10" i="1"/>
  <c r="D4" i="12" l="1"/>
  <c r="D5" i="12"/>
  <c r="D6" i="12"/>
  <c r="AI30" i="10"/>
  <c r="AG30" i="10"/>
  <c r="AE30" i="10"/>
  <c r="AC30" i="10"/>
  <c r="AA30" i="10"/>
  <c r="Y30" i="10"/>
  <c r="X30" i="10"/>
  <c r="W30" i="10"/>
  <c r="U30" i="10"/>
  <c r="Q30" i="10"/>
  <c r="P30" i="10"/>
  <c r="O30" i="10"/>
  <c r="M30" i="10"/>
  <c r="L30" i="10"/>
  <c r="K30" i="10"/>
  <c r="I30" i="10"/>
  <c r="G30" i="10"/>
  <c r="E30" i="10"/>
  <c r="C30" i="10"/>
  <c r="AK30" i="10" l="1"/>
  <c r="AL30" i="10" s="1"/>
  <c r="AL25" i="10" l="1"/>
  <c r="AK25" i="10"/>
  <c r="AI25" i="10"/>
  <c r="AG25" i="10"/>
  <c r="AE25" i="10"/>
  <c r="AC25" i="10"/>
  <c r="AA25" i="10"/>
  <c r="Y25" i="10"/>
  <c r="X25" i="10"/>
  <c r="W25" i="10"/>
  <c r="U25" i="10"/>
  <c r="S25" i="10"/>
  <c r="Q25" i="10"/>
  <c r="P25" i="10"/>
  <c r="O25" i="10"/>
  <c r="M25" i="10"/>
  <c r="L25" i="10"/>
  <c r="K25" i="10"/>
  <c r="I25" i="10"/>
  <c r="G25" i="10"/>
  <c r="E25" i="10"/>
  <c r="D25" i="10"/>
  <c r="C25" i="10"/>
  <c r="G42" i="19" l="1"/>
  <c r="G40" i="19"/>
  <c r="G38" i="19"/>
  <c r="G36" i="19"/>
  <c r="G34" i="19"/>
  <c r="G30" i="19"/>
  <c r="G32" i="19"/>
  <c r="E8" i="9" l="1"/>
  <c r="V9" i="7"/>
  <c r="W9" i="7" s="1"/>
  <c r="U9" i="7"/>
  <c r="I41" i="18"/>
  <c r="I40" i="18"/>
  <c r="I39" i="18"/>
  <c r="C49" i="15" l="1"/>
  <c r="D48" i="15" s="1"/>
  <c r="D36" i="15" l="1"/>
  <c r="D38" i="15"/>
  <c r="D40" i="15"/>
  <c r="D44" i="15"/>
  <c r="D37" i="15"/>
  <c r="D41" i="15"/>
  <c r="D45" i="15"/>
  <c r="D47" i="15"/>
  <c r="D42" i="15"/>
  <c r="D46" i="15"/>
  <c r="D35" i="15"/>
  <c r="D39" i="15"/>
  <c r="D43" i="15"/>
  <c r="B40" i="14" l="1"/>
  <c r="H19" i="16"/>
  <c r="C7" i="12"/>
  <c r="B7" i="12"/>
  <c r="H22" i="16" l="1"/>
  <c r="D12" i="16"/>
  <c r="D15" i="16"/>
  <c r="H15" i="16"/>
  <c r="H20" i="16"/>
  <c r="D19" i="16"/>
  <c r="H5" i="16"/>
  <c r="H16" i="16"/>
  <c r="H12" i="16"/>
  <c r="K19" i="19" l="1"/>
  <c r="B37" i="11" l="1"/>
  <c r="G8" i="11"/>
  <c r="D37" i="11" s="1"/>
  <c r="H130" i="12"/>
  <c r="C144" i="12" s="1"/>
  <c r="H129" i="12"/>
  <c r="C143" i="12" s="1"/>
  <c r="H128" i="12"/>
  <c r="C142" i="12" s="1"/>
  <c r="H127" i="12"/>
  <c r="C141" i="12" s="1"/>
  <c r="H126" i="12"/>
  <c r="C140" i="12" s="1"/>
  <c r="H125" i="12"/>
  <c r="C139" i="12" s="1"/>
  <c r="H124" i="12"/>
  <c r="C138" i="12" s="1"/>
  <c r="H123" i="12"/>
  <c r="C137" i="12" s="1"/>
  <c r="AL29" i="10"/>
  <c r="AL28" i="10"/>
  <c r="AL27" i="10"/>
  <c r="H88" i="12"/>
  <c r="H87" i="12"/>
  <c r="H86" i="12"/>
  <c r="H64" i="12"/>
  <c r="H63" i="12"/>
  <c r="H62" i="12"/>
  <c r="I62" i="12"/>
  <c r="I63" i="12"/>
  <c r="I64" i="12"/>
  <c r="AI29" i="10"/>
  <c r="AI28" i="10"/>
  <c r="AK29" i="10"/>
  <c r="AK28" i="10"/>
  <c r="AK27" i="10"/>
  <c r="AI27" i="10"/>
  <c r="M19" i="19" l="1"/>
  <c r="F8" i="11"/>
  <c r="D8" i="11"/>
  <c r="H213" i="8"/>
  <c r="C64" i="8"/>
  <c r="B64" i="8"/>
  <c r="C124" i="8"/>
  <c r="B124" i="8"/>
  <c r="H48" i="2"/>
  <c r="H30" i="2"/>
  <c r="F29" i="1" l="1"/>
  <c r="M39" i="1"/>
  <c r="M38" i="1"/>
  <c r="M37" i="1"/>
  <c r="L37" i="1"/>
  <c r="K37" i="1"/>
  <c r="J37" i="1"/>
  <c r="F45" i="1"/>
  <c r="G213" i="8"/>
  <c r="F213" i="8"/>
  <c r="E213" i="8"/>
  <c r="D213" i="8"/>
  <c r="C213" i="8"/>
  <c r="B213" i="8"/>
  <c r="B119" i="8"/>
  <c r="B120" i="8"/>
  <c r="B121" i="8"/>
  <c r="B122" i="8"/>
  <c r="B123" i="8"/>
  <c r="C119" i="8"/>
  <c r="C120" i="8"/>
  <c r="C121" i="8"/>
  <c r="C122" i="8"/>
  <c r="C123" i="8"/>
  <c r="B61" i="8" l="1"/>
  <c r="B62" i="8"/>
  <c r="B63" i="8"/>
  <c r="C61" i="8"/>
  <c r="C62" i="8"/>
  <c r="C63" i="8"/>
  <c r="AG5" i="10" l="1"/>
  <c r="AC5" i="10"/>
  <c r="Y5" i="10"/>
  <c r="U5" i="10"/>
  <c r="Q5" i="10"/>
  <c r="M5" i="10"/>
  <c r="I5" i="10"/>
  <c r="E5" i="10"/>
  <c r="AE5" i="10"/>
  <c r="AA5" i="10"/>
  <c r="W5" i="10"/>
  <c r="S5" i="10"/>
  <c r="O5" i="10"/>
  <c r="K5" i="10"/>
  <c r="G5" i="10"/>
  <c r="C5" i="10"/>
  <c r="AE10" i="10"/>
  <c r="AG10" i="10"/>
  <c r="AC10" i="10"/>
  <c r="AA10" i="10"/>
  <c r="K10" i="10"/>
  <c r="O10" i="10"/>
  <c r="S10" i="10"/>
  <c r="W10" i="10"/>
  <c r="Y10" i="10"/>
  <c r="U10" i="10"/>
  <c r="Q10" i="10"/>
  <c r="M10" i="10"/>
  <c r="I10" i="10"/>
  <c r="G10" i="10"/>
  <c r="C10" i="10"/>
  <c r="E10" i="10"/>
  <c r="E45" i="1" l="1"/>
  <c r="D45" i="1"/>
  <c r="C45" i="1"/>
  <c r="B45" i="1"/>
  <c r="L44" i="1"/>
  <c r="K44" i="1"/>
  <c r="J44" i="1"/>
  <c r="K43" i="1"/>
  <c r="J43" i="1"/>
  <c r="J42" i="1"/>
  <c r="K42" i="1"/>
  <c r="L42" i="1"/>
  <c r="K41" i="1"/>
  <c r="J41" i="1"/>
  <c r="K40" i="1"/>
  <c r="K39" i="1"/>
  <c r="K38" i="1"/>
  <c r="G28" i="1"/>
  <c r="G27" i="1"/>
  <c r="G26" i="1"/>
  <c r="G25" i="1"/>
  <c r="G24" i="1"/>
  <c r="G23" i="1"/>
  <c r="G22" i="1"/>
  <c r="E28" i="1"/>
  <c r="E27" i="1"/>
  <c r="E26" i="1"/>
  <c r="E25" i="1"/>
  <c r="E24" i="1"/>
  <c r="E23" i="1"/>
  <c r="E22" i="1"/>
  <c r="C28" i="1"/>
  <c r="C27" i="1"/>
  <c r="C26" i="1"/>
  <c r="C25" i="1"/>
  <c r="C24" i="1"/>
  <c r="C23" i="1"/>
  <c r="C22" i="1"/>
  <c r="C21" i="1"/>
  <c r="D29" i="1"/>
  <c r="B29" i="1"/>
  <c r="G45" i="1" l="1"/>
  <c r="K45" i="1" s="1"/>
  <c r="E21" i="1"/>
  <c r="G21" i="1"/>
  <c r="H29" i="1"/>
  <c r="M40" i="1"/>
  <c r="L40" i="1"/>
  <c r="L38" i="1"/>
  <c r="L39" i="1"/>
  <c r="J40" i="1"/>
  <c r="J38" i="1"/>
  <c r="J39" i="1"/>
  <c r="J45" i="1"/>
  <c r="L41" i="1"/>
  <c r="L43" i="1"/>
  <c r="D157" i="12"/>
  <c r="C157" i="12"/>
  <c r="B157" i="12"/>
  <c r="D156" i="12"/>
  <c r="C156" i="12"/>
  <c r="B156" i="12"/>
  <c r="D155" i="12"/>
  <c r="C155" i="12"/>
  <c r="B155" i="12"/>
  <c r="D154" i="12"/>
  <c r="C154" i="12"/>
  <c r="B154" i="12"/>
  <c r="D153" i="12"/>
  <c r="C153" i="12"/>
  <c r="B153" i="12"/>
  <c r="D152" i="12"/>
  <c r="C152" i="12"/>
  <c r="B152" i="12"/>
  <c r="D151" i="12"/>
  <c r="C151" i="12"/>
  <c r="B151" i="12"/>
  <c r="B150" i="12"/>
  <c r="C150" i="12"/>
  <c r="D150" i="12"/>
  <c r="D144" i="12"/>
  <c r="D143" i="12"/>
  <c r="D142" i="12"/>
  <c r="D141" i="12"/>
  <c r="D140" i="12"/>
  <c r="D139" i="12"/>
  <c r="D138" i="12"/>
  <c r="D137" i="12"/>
  <c r="C29" i="1" l="1"/>
  <c r="E29" i="1"/>
  <c r="G29" i="1"/>
  <c r="I45" i="1"/>
  <c r="M45" i="1" s="1"/>
  <c r="H45" i="1"/>
  <c r="L45" i="1" s="1"/>
  <c r="F131" i="12"/>
  <c r="G129" i="12" s="1"/>
  <c r="D131" i="12"/>
  <c r="E130" i="12" s="1"/>
  <c r="B131" i="12"/>
  <c r="C128" i="12" s="1"/>
  <c r="G116" i="12"/>
  <c r="E116" i="12"/>
  <c r="C116" i="12"/>
  <c r="G115" i="12"/>
  <c r="E115" i="12"/>
  <c r="C115" i="12"/>
  <c r="G114" i="12"/>
  <c r="E114" i="12"/>
  <c r="C114" i="12"/>
  <c r="G113" i="12"/>
  <c r="E113" i="12"/>
  <c r="C113" i="12"/>
  <c r="G112" i="12"/>
  <c r="E112" i="12"/>
  <c r="C112" i="12"/>
  <c r="G111" i="12"/>
  <c r="E111" i="12"/>
  <c r="C111" i="12"/>
  <c r="G110" i="12"/>
  <c r="E110" i="12"/>
  <c r="G109" i="12"/>
  <c r="E109" i="12"/>
  <c r="C109" i="12"/>
  <c r="F117" i="12"/>
  <c r="D117" i="12"/>
  <c r="B117" i="12"/>
  <c r="H131" i="12"/>
  <c r="C145" i="12" s="1"/>
  <c r="I88" i="12"/>
  <c r="J88" i="12" s="1"/>
  <c r="G97" i="12" s="1"/>
  <c r="I87" i="12"/>
  <c r="J87" i="12" s="1"/>
  <c r="G96" i="12" s="1"/>
  <c r="I86" i="12"/>
  <c r="J86" i="12" s="1"/>
  <c r="G95" i="12" s="1"/>
  <c r="G87" i="12"/>
  <c r="G88" i="12"/>
  <c r="G86" i="12"/>
  <c r="D87" i="12"/>
  <c r="D88" i="12"/>
  <c r="D86" i="12"/>
  <c r="F89" i="12"/>
  <c r="E89" i="12"/>
  <c r="C89" i="12"/>
  <c r="B89" i="12"/>
  <c r="J64" i="12"/>
  <c r="G73" i="12" s="1"/>
  <c r="J63" i="12"/>
  <c r="G72" i="12" s="1"/>
  <c r="J62" i="12"/>
  <c r="G71" i="12" s="1"/>
  <c r="G64" i="12"/>
  <c r="G63" i="12"/>
  <c r="G62" i="12"/>
  <c r="F65" i="12"/>
  <c r="E65" i="12"/>
  <c r="D64" i="12"/>
  <c r="D63" i="12"/>
  <c r="D62" i="12"/>
  <c r="H89" i="12" l="1"/>
  <c r="D145" i="12"/>
  <c r="I89" i="12"/>
  <c r="G123" i="12"/>
  <c r="G130" i="12"/>
  <c r="G126" i="12"/>
  <c r="E123" i="12"/>
  <c r="G127" i="12"/>
  <c r="E127" i="12"/>
  <c r="C129" i="12"/>
  <c r="E124" i="12"/>
  <c r="C126" i="12"/>
  <c r="C130" i="12"/>
  <c r="E125" i="12"/>
  <c r="E129" i="12"/>
  <c r="G124" i="12"/>
  <c r="G128" i="12"/>
  <c r="C125" i="12"/>
  <c r="E128" i="12"/>
  <c r="C123" i="12"/>
  <c r="C127" i="12"/>
  <c r="E126" i="12"/>
  <c r="G125" i="12"/>
  <c r="C124" i="12"/>
  <c r="G65" i="12"/>
  <c r="D89" i="12"/>
  <c r="G89" i="12"/>
  <c r="C65" i="12"/>
  <c r="I65" i="12" s="1"/>
  <c r="B65" i="12"/>
  <c r="H65" i="12" s="1"/>
  <c r="B17" i="12"/>
  <c r="C14" i="12" s="1"/>
  <c r="C117" i="12" l="1"/>
  <c r="G117" i="12"/>
  <c r="E117" i="12"/>
  <c r="J89" i="12"/>
  <c r="G98" i="12" s="1"/>
  <c r="D7" i="12"/>
  <c r="C15" i="12"/>
  <c r="C16" i="12"/>
  <c r="G131" i="12"/>
  <c r="E131" i="12"/>
  <c r="C131" i="12"/>
  <c r="D65" i="12"/>
  <c r="J65" i="12"/>
  <c r="G74" i="12" s="1"/>
  <c r="D34" i="11"/>
  <c r="C34" i="11"/>
  <c r="B34" i="11"/>
  <c r="B35" i="11"/>
  <c r="B36" i="11"/>
  <c r="F4" i="11"/>
  <c r="D4" i="11"/>
  <c r="F5" i="11"/>
  <c r="D5" i="11"/>
  <c r="C17" i="12" l="1"/>
  <c r="H8" i="19"/>
  <c r="H7" i="19"/>
  <c r="H6" i="19"/>
  <c r="H10" i="19" s="1"/>
  <c r="F10" i="19"/>
  <c r="J6" i="19"/>
  <c r="I9" i="19"/>
  <c r="J8" i="19" s="1"/>
  <c r="C9" i="19"/>
  <c r="F42" i="19"/>
  <c r="B42" i="19"/>
  <c r="F40" i="19"/>
  <c r="D40" i="19"/>
  <c r="B40" i="19"/>
  <c r="F38" i="19"/>
  <c r="D38" i="19"/>
  <c r="B38" i="19"/>
  <c r="F36" i="19"/>
  <c r="D36" i="19"/>
  <c r="B36" i="19"/>
  <c r="F34" i="19"/>
  <c r="D34" i="19"/>
  <c r="B34" i="19"/>
  <c r="F32" i="19"/>
  <c r="D32" i="19"/>
  <c r="B32" i="19"/>
  <c r="F30" i="19"/>
  <c r="D30" i="19"/>
  <c r="B30" i="19"/>
  <c r="B28" i="19"/>
  <c r="F28" i="19"/>
  <c r="D8" i="19" l="1"/>
  <c r="D7" i="19"/>
  <c r="H38" i="19"/>
  <c r="H40" i="19"/>
  <c r="H32" i="19"/>
  <c r="H30" i="19"/>
  <c r="H36" i="19"/>
  <c r="H34" i="19"/>
  <c r="H42" i="19"/>
  <c r="H28" i="19"/>
  <c r="J7" i="19"/>
  <c r="J5" i="19"/>
  <c r="J9" i="19"/>
  <c r="C10" i="19"/>
  <c r="D9" i="19" s="1"/>
  <c r="I44" i="19"/>
  <c r="M38" i="19" s="1"/>
  <c r="G44" i="19"/>
  <c r="E44" i="19"/>
  <c r="C44" i="19"/>
  <c r="A44" i="19"/>
  <c r="F44" i="19" l="1"/>
  <c r="D6" i="19"/>
  <c r="J36" i="19"/>
  <c r="J28" i="19"/>
  <c r="J42" i="19"/>
  <c r="J34" i="19"/>
  <c r="J38" i="19"/>
  <c r="J30" i="19"/>
  <c r="J40" i="19"/>
  <c r="J32" i="19"/>
  <c r="D5" i="19"/>
  <c r="D10" i="19" s="1"/>
  <c r="B44" i="19"/>
  <c r="D44" i="19"/>
  <c r="J10" i="19"/>
  <c r="H44" i="19" l="1"/>
  <c r="J44" i="19"/>
  <c r="H37" i="17"/>
  <c r="G37" i="17" s="1"/>
  <c r="H36" i="17"/>
  <c r="E36" i="17" s="1"/>
  <c r="H35" i="17"/>
  <c r="G35" i="17" s="1"/>
  <c r="H34" i="17"/>
  <c r="E34" i="17" s="1"/>
  <c r="H33" i="17"/>
  <c r="C33" i="17" s="1"/>
  <c r="H32" i="17"/>
  <c r="G32" i="17" s="1"/>
  <c r="H31" i="17"/>
  <c r="G31" i="17" s="1"/>
  <c r="F38" i="17"/>
  <c r="D38" i="17"/>
  <c r="F23" i="17"/>
  <c r="G19" i="17" s="1"/>
  <c r="B23" i="17"/>
  <c r="C22" i="17" s="1"/>
  <c r="D23" i="17"/>
  <c r="E19" i="17" s="1"/>
  <c r="C37" i="17" l="1"/>
  <c r="E37" i="17"/>
  <c r="G36" i="17"/>
  <c r="C36" i="17"/>
  <c r="E35" i="17"/>
  <c r="C35" i="17"/>
  <c r="G34" i="17"/>
  <c r="C34" i="17"/>
  <c r="E33" i="17"/>
  <c r="G33" i="17"/>
  <c r="C32" i="17"/>
  <c r="E32" i="17"/>
  <c r="C31" i="17"/>
  <c r="E31" i="17"/>
  <c r="C21" i="17"/>
  <c r="E16" i="17"/>
  <c r="E20" i="17"/>
  <c r="C17" i="17"/>
  <c r="G18" i="17"/>
  <c r="G16" i="17"/>
  <c r="G20" i="17"/>
  <c r="G17" i="17"/>
  <c r="G21" i="17"/>
  <c r="G22" i="17"/>
  <c r="G15" i="17"/>
  <c r="E18" i="17"/>
  <c r="E22" i="17"/>
  <c r="E17" i="17"/>
  <c r="E21" i="17"/>
  <c r="E15" i="17"/>
  <c r="C15" i="17"/>
  <c r="C19" i="17"/>
  <c r="C16" i="17"/>
  <c r="C20" i="17"/>
  <c r="C18" i="17"/>
  <c r="B12" i="18"/>
  <c r="C10" i="18" s="1"/>
  <c r="E6" i="17"/>
  <c r="E5" i="17"/>
  <c r="E4" i="17"/>
  <c r="C7" i="17"/>
  <c r="D4" i="17" s="1"/>
  <c r="B7" i="17"/>
  <c r="D22" i="16"/>
  <c r="H11" i="16"/>
  <c r="G23" i="17" l="1"/>
  <c r="E23" i="17"/>
  <c r="C23" i="17"/>
  <c r="D5" i="17"/>
  <c r="E7" i="17"/>
  <c r="D6" i="17"/>
  <c r="F12" i="16"/>
  <c r="F19" i="16"/>
  <c r="F15" i="16"/>
  <c r="F22" i="16"/>
  <c r="F21" i="16"/>
  <c r="F5" i="16"/>
  <c r="H4" i="16"/>
  <c r="F10" i="16"/>
  <c r="F11" i="16"/>
  <c r="F8" i="16"/>
  <c r="F20" i="16"/>
  <c r="H7" i="16"/>
  <c r="H21" i="16"/>
  <c r="H8" i="16"/>
  <c r="H10" i="16"/>
  <c r="H6" i="16"/>
  <c r="F6" i="16"/>
  <c r="F7" i="16"/>
  <c r="F4" i="16"/>
  <c r="F16" i="16"/>
  <c r="D21" i="16"/>
  <c r="D10" i="16"/>
  <c r="D11" i="16"/>
  <c r="D6" i="16"/>
  <c r="D7" i="16"/>
  <c r="D8" i="16"/>
  <c r="D20" i="16"/>
  <c r="D5" i="16"/>
  <c r="D4" i="16"/>
  <c r="D16" i="16"/>
  <c r="C7" i="18"/>
  <c r="C11" i="18"/>
  <c r="C4" i="18"/>
  <c r="C8" i="18"/>
  <c r="C5" i="18"/>
  <c r="C9" i="18"/>
  <c r="C6" i="18"/>
  <c r="D70" i="14"/>
  <c r="E69" i="14" s="1"/>
  <c r="B70" i="14"/>
  <c r="F70" i="14"/>
  <c r="G68" i="14" s="1"/>
  <c r="C70" i="14"/>
  <c r="D24" i="16" l="1"/>
  <c r="F24" i="16"/>
  <c r="H24" i="16"/>
  <c r="D7" i="17"/>
  <c r="E66" i="14"/>
  <c r="G65" i="14"/>
  <c r="G69" i="14"/>
  <c r="E62" i="14"/>
  <c r="E67" i="14"/>
  <c r="G62" i="14"/>
  <c r="G66" i="14"/>
  <c r="E63" i="14"/>
  <c r="E64" i="14"/>
  <c r="E68" i="14"/>
  <c r="G63" i="14"/>
  <c r="G67" i="14"/>
  <c r="E65" i="14"/>
  <c r="G64" i="14"/>
  <c r="C12" i="18"/>
  <c r="F55" i="14"/>
  <c r="D55" i="14"/>
  <c r="B55" i="14"/>
  <c r="D48" i="14"/>
  <c r="E46" i="14" s="1"/>
  <c r="B48" i="14"/>
  <c r="C45" i="14" s="1"/>
  <c r="G53" i="14" l="1"/>
  <c r="C53" i="14"/>
  <c r="C54" i="14"/>
  <c r="E70" i="14"/>
  <c r="G70" i="14"/>
  <c r="C46" i="14"/>
  <c r="C47" i="14"/>
  <c r="E47" i="14"/>
  <c r="E45" i="14"/>
  <c r="E53" i="14"/>
  <c r="E54" i="14"/>
  <c r="G54" i="14"/>
  <c r="G55" i="14" s="1"/>
  <c r="C55" i="14" l="1"/>
  <c r="E48" i="14"/>
  <c r="C48" i="14"/>
  <c r="E55" i="14"/>
  <c r="D49" i="15"/>
  <c r="F39" i="14"/>
  <c r="F38" i="14"/>
  <c r="F29" i="14"/>
  <c r="F36" i="14"/>
  <c r="F32" i="14"/>
  <c r="F31" i="14"/>
  <c r="F28" i="14"/>
  <c r="F27" i="14"/>
  <c r="F34" i="14"/>
  <c r="F24" i="14"/>
  <c r="D32" i="14" l="1"/>
  <c r="D24" i="14"/>
  <c r="D39" i="14"/>
  <c r="D34" i="14"/>
  <c r="D35" i="14"/>
  <c r="D28" i="14"/>
  <c r="D29" i="14"/>
  <c r="D26" i="14"/>
  <c r="D27" i="14"/>
  <c r="D31" i="14"/>
  <c r="D36" i="14"/>
  <c r="D38" i="14"/>
  <c r="D33" i="14"/>
  <c r="D25" i="14"/>
  <c r="D40" i="14" l="1"/>
  <c r="AL5" i="10" l="1"/>
  <c r="AK10" i="10"/>
  <c r="AL10" i="10" s="1"/>
  <c r="AK5" i="10"/>
  <c r="AI5" i="10"/>
  <c r="G6" i="11" l="1"/>
  <c r="G7" i="11"/>
  <c r="AL19" i="10"/>
  <c r="AL18" i="10"/>
  <c r="C37" i="11" l="1"/>
  <c r="D36" i="11"/>
  <c r="C35" i="11"/>
  <c r="D35" i="11"/>
  <c r="D7" i="11"/>
  <c r="C36" i="11"/>
  <c r="F6" i="11"/>
  <c r="D6" i="11"/>
  <c r="F7" i="11"/>
  <c r="AK17" i="10"/>
  <c r="AL17" i="10" s="1"/>
  <c r="AL15" i="10"/>
  <c r="AI22" i="10"/>
  <c r="AK20" i="10"/>
  <c r="AL20" i="10" s="1"/>
  <c r="AI20" i="10"/>
  <c r="AK24" i="10"/>
  <c r="AL24" i="10" s="1"/>
  <c r="AK23" i="10"/>
  <c r="AL23" i="10" s="1"/>
  <c r="AK22" i="10"/>
  <c r="AL22" i="10" s="1"/>
  <c r="L32" i="7" l="1"/>
  <c r="L31" i="7"/>
  <c r="L30" i="7"/>
  <c r="L29" i="7"/>
  <c r="K32" i="7"/>
  <c r="K31" i="7"/>
  <c r="K30" i="7"/>
  <c r="K29" i="7"/>
  <c r="J32" i="7"/>
  <c r="J31" i="7"/>
  <c r="J30" i="7"/>
  <c r="J29" i="7"/>
  <c r="R50" i="7" l="1"/>
  <c r="S44" i="7" s="1"/>
  <c r="Q50" i="7"/>
  <c r="L27" i="7"/>
  <c r="K27" i="7"/>
  <c r="J27" i="7"/>
  <c r="S47" i="7" l="1"/>
  <c r="S43" i="7"/>
  <c r="S46" i="7"/>
  <c r="S45" i="7"/>
  <c r="S49" i="7"/>
  <c r="S40" i="7"/>
  <c r="E4" i="9"/>
  <c r="E5" i="9"/>
  <c r="E6" i="9"/>
  <c r="E7" i="9"/>
  <c r="S50" i="7" l="1"/>
  <c r="C18" i="7" l="1"/>
  <c r="U5" i="7" l="1"/>
  <c r="V5" i="7"/>
  <c r="D16" i="7" s="1"/>
  <c r="U6" i="7"/>
  <c r="V6" i="7"/>
  <c r="W6" i="7" s="1"/>
  <c r="V7" i="7"/>
  <c r="U7" i="7"/>
  <c r="W5" i="7" l="1"/>
  <c r="W7" i="7"/>
  <c r="D17" i="7"/>
  <c r="D18" i="7"/>
  <c r="V8" i="7" l="1"/>
  <c r="U8" i="7"/>
  <c r="T8" i="7"/>
  <c r="W8" i="7" l="1"/>
  <c r="D19" i="7"/>
  <c r="B19" i="7"/>
  <c r="C19" i="7" s="1"/>
  <c r="D49" i="2" l="1"/>
  <c r="D48" i="2" s="1"/>
  <c r="F30" i="2"/>
  <c r="F49" i="2" s="1"/>
  <c r="F48" i="2" s="1"/>
  <c r="E30" i="2"/>
  <c r="E49" i="2" s="1"/>
  <c r="E48" i="2" s="1"/>
  <c r="D30" i="2"/>
  <c r="C30" i="2"/>
  <c r="C49" i="2" s="1"/>
  <c r="C48" i="2" s="1"/>
  <c r="B30" i="2"/>
  <c r="B49" i="2" s="1"/>
  <c r="B48" i="2" s="1"/>
  <c r="G30" i="2" l="1"/>
  <c r="G49" i="2" s="1"/>
  <c r="G48" i="2" s="1"/>
  <c r="C14" i="1" l="1"/>
  <c r="H14" i="1"/>
  <c r="G14" i="1"/>
  <c r="F14" i="1"/>
  <c r="E14" i="1"/>
  <c r="B14" i="1"/>
  <c r="I14" i="1" l="1"/>
  <c r="J8" i="1" s="1"/>
  <c r="J6" i="1" l="1"/>
  <c r="J11" i="1"/>
  <c r="J7" i="1"/>
  <c r="J9" i="1"/>
  <c r="J12" i="1"/>
  <c r="J13" i="1"/>
  <c r="J10" i="1"/>
  <c r="J14" i="1" l="1"/>
  <c r="H30" i="17"/>
  <c r="E30" i="17" s="1"/>
  <c r="B38" i="17"/>
  <c r="H38" i="17" s="1"/>
  <c r="C30" i="17" l="1"/>
  <c r="G30" i="17"/>
  <c r="E38" i="17"/>
  <c r="G38" i="17"/>
  <c r="C38" i="17"/>
</calcChain>
</file>

<file path=xl/sharedStrings.xml><?xml version="1.0" encoding="utf-8"?>
<sst xmlns="http://schemas.openxmlformats.org/spreadsheetml/2006/main" count="1433" uniqueCount="692">
  <si>
    <t>Noslēgto līgumu summu, līgumu un iepirkumu skaita un sabiedrisko pakalpojumu sniedzēju skaita sadalījums pa darbības jomām</t>
  </si>
  <si>
    <t xml:space="preserve">Darbības jomas </t>
  </si>
  <si>
    <t>SPS skaits</t>
  </si>
  <si>
    <t>Veicot likumā noteiktās procedūras</t>
  </si>
  <si>
    <t>Virs ES līgumcenu sliekšņa</t>
  </si>
  <si>
    <t>Iepir-kumu skaits</t>
  </si>
  <si>
    <t>Noslēgto līgumu summa, EUR</t>
  </si>
  <si>
    <t>Iepirkumi, nepiemērojot likumā noteiktās procedūras</t>
  </si>
  <si>
    <t>Zem ES līgumcenu sliekšņa</t>
  </si>
  <si>
    <t>Likuma piemērošanas izņēmumi</t>
  </si>
  <si>
    <t>Īpatsvars (%)</t>
  </si>
  <si>
    <t>Pavisam kopā</t>
  </si>
  <si>
    <t>Siltumapgāde, gāze</t>
  </si>
  <si>
    <t>Elektroenerģija</t>
  </si>
  <si>
    <t>Ūdensapgāde</t>
  </si>
  <si>
    <t>Pasažieru pārvadājumi</t>
  </si>
  <si>
    <t>Pasta pakalpojumi</t>
  </si>
  <si>
    <t>Ostas</t>
  </si>
  <si>
    <t>Lidostas</t>
  </si>
  <si>
    <t>Kopā</t>
  </si>
  <si>
    <t>Kopā sabiedrisko pakalpojumu sniedzēji (skaits)</t>
  </si>
  <si>
    <t>Kopā noslēgto līgumu summa (milj.EUR)</t>
  </si>
  <si>
    <t>2010.gads</t>
  </si>
  <si>
    <t>2011.gads</t>
  </si>
  <si>
    <t>2012.gads</t>
  </si>
  <si>
    <t>2013.gads</t>
  </si>
  <si>
    <t>2014.gads</t>
  </si>
  <si>
    <t>2015.gads</t>
  </si>
  <si>
    <t>Darbības jomas</t>
  </si>
  <si>
    <t>Virs ES sliekšņa</t>
  </si>
  <si>
    <t>Zem ES sliekšņa</t>
  </si>
  <si>
    <t>Likuma piemē-rošanas izņē-mumi</t>
  </si>
  <si>
    <t>Īpatsvars (%) attiecībā pret kopējo līgumu summu attiecīgajā darbības jomā</t>
  </si>
  <si>
    <t>Kopējā noslēgto līgumu summa, EUR</t>
  </si>
  <si>
    <t>Īpatsvars %</t>
  </si>
  <si>
    <t>Kopējais sabiedrisko pakalpojumu sniedzēju skaits</t>
  </si>
  <si>
    <t>SPS skaits , kuri veikuši virs ES sliekšņa iepirkumus</t>
  </si>
  <si>
    <t>Gads</t>
  </si>
  <si>
    <t>Noslēgto līgumu summa virs ES sliekšņa (milj.EUR)</t>
  </si>
  <si>
    <t>Iepirkumu skaits</t>
  </si>
  <si>
    <t>Līgumu skaits</t>
  </si>
  <si>
    <t>1.</t>
  </si>
  <si>
    <t>Iepirkumi, par kuriem noslēgti līgumi, piemērojot likuma izņēmumus</t>
  </si>
  <si>
    <t>Noslēgto līgumu summa (EUR)</t>
  </si>
  <si>
    <t>Gāzes vai siltuma pārvades vai sadales nozare</t>
  </si>
  <si>
    <t>Elektroenerģijas ražošanas, pārvades vai sadales nozare</t>
  </si>
  <si>
    <t>Pakal-poju-mu snie-dzēju skaits</t>
  </si>
  <si>
    <t>Dzeramā ūdens ražošanas, pārvades vai sadales nozare</t>
  </si>
  <si>
    <t>VAS "Latvijas dzelzceļš"</t>
  </si>
  <si>
    <t>SIA "Krāslavas nami"</t>
  </si>
  <si>
    <t>SIA Ādažu namsaimnieks</t>
  </si>
  <si>
    <t>SIA "Kokneses Komunālie pakalpojumi"</t>
  </si>
  <si>
    <t>SIA "Valkas Namsaimnieks"</t>
  </si>
  <si>
    <t>SIA "Pils rajona namu pārvalde"</t>
  </si>
  <si>
    <t>SIA "Talsu namsaimnieks"</t>
  </si>
  <si>
    <t>PA "Carnikavas Komunālserviss"</t>
  </si>
  <si>
    <t>Stopiņu novada PA "Saimnieks"</t>
  </si>
  <si>
    <t xml:space="preserve">PSIA "Ugāles nami" </t>
  </si>
  <si>
    <t>SIA "Rīgas satiksme"</t>
  </si>
  <si>
    <t>SIA "Jūrmalas ūdens"</t>
  </si>
  <si>
    <t>SIA "Smiltenes NKUP"</t>
  </si>
  <si>
    <t xml:space="preserve">SIA "Līvānu dzīvokļu un komunālā saimniecība" </t>
  </si>
  <si>
    <t>SIA "Auces komunālie pakalpojumi"</t>
  </si>
  <si>
    <t>SIA "Garkalnes inženiertīkli"</t>
  </si>
  <si>
    <t>SIA "Ķekavas nami"</t>
  </si>
  <si>
    <t>SIA "Lielvārdes Remte"</t>
  </si>
  <si>
    <t>SIA "Ludzas apsaimniekotājs"</t>
  </si>
  <si>
    <t>SIA "Naujenes pakalpojumu serviss"</t>
  </si>
  <si>
    <t xml:space="preserve">AS "Olaines ūdens un siltums" </t>
  </si>
  <si>
    <t>SIA "Ornaments"</t>
  </si>
  <si>
    <t>SIA "Ozolnieku KSDU"</t>
  </si>
  <si>
    <t>SIA "Preiļu saimnieks"</t>
  </si>
  <si>
    <t>SIA "Skrundas komunālā saimniecība"</t>
  </si>
  <si>
    <t>SIA "Dzīvokļu komunālā saimniecība"</t>
  </si>
  <si>
    <t>SIA "Rūpe"</t>
  </si>
  <si>
    <t>Ērgļu pagasta SIA Ūdas</t>
  </si>
  <si>
    <t>SIA Rojas DzKU</t>
  </si>
  <si>
    <t>SIA Saulkrastu komunālserviss</t>
  </si>
  <si>
    <t>SIA Baložu komunālā saimniecība</t>
  </si>
  <si>
    <t>SIA "Ādažu ūdens"</t>
  </si>
  <si>
    <t>SIA "BN Komforts"</t>
  </si>
  <si>
    <t>SIA "BŪKS"</t>
  </si>
  <si>
    <t>Ropažu novada SIA "CIEMATS"</t>
  </si>
  <si>
    <t>SIA "Dagdas komunālā saimniecība"</t>
  </si>
  <si>
    <t>SIA "Ikšķiles māja"</t>
  </si>
  <si>
    <t>SIA "NORMA K"</t>
  </si>
  <si>
    <t>SIA "Zilupes LTD"</t>
  </si>
  <si>
    <t>SIA Zeiferti</t>
  </si>
  <si>
    <t>A/S Mārupes komunālie pakalpojumi</t>
  </si>
  <si>
    <t>SIA "Jelgavas novada KU"</t>
  </si>
  <si>
    <t>Valkas novada dome</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</si>
  <si>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</si>
  <si>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</si>
  <si>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</si>
  <si>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</si>
  <si>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</si>
  <si>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</si>
  <si>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</si>
  <si>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</si>
  <si>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</si>
  <si>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</si>
  <si>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</si>
  <si>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</si>
  <si>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</si>
  <si>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</si>
  <si>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</si>
  <si>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</si>
  <si>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</si>
  <si>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</si>
  <si>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</si>
  <si>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</si>
  <si>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</si>
  <si>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</si>
  <si>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</si>
  <si>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</si>
  <si>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</si>
  <si>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</si>
  <si>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</si>
  <si>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</si>
  <si>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</si>
  <si>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</si>
  <si>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</si>
  <si>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</si>
  <si>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</si>
  <si>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</si>
  <si>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</si>
  <si>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</si>
  <si>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</si>
  <si>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</si>
  <si>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</si>
  <si>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</si>
  <si>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</si>
  <si>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</si>
  <si>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</si>
  <si>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</si>
  <si>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</si>
  <si>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</si>
  <si>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</si>
  <si>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</si>
  <si>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</si>
  <si>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</si>
  <si>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</si>
  <si>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</si>
  <si>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</si>
  <si>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 xml:space="preserve">PSIA "ŪDEKA" </t>
  </si>
  <si>
    <t>SIA "Ventspils siltums"</t>
  </si>
  <si>
    <t>Likuma kopējā izņēmumu piemērošanas dinamika</t>
  </si>
  <si>
    <t>Pakalpojumu sniedzēju skaits</t>
  </si>
  <si>
    <t>Noslēgto līgumu skaits</t>
  </si>
  <si>
    <t>Noslēgto līgumu summa pavisam kopā, EUR</t>
  </si>
  <si>
    <t>Pavisam kopējā līgumu summa. milj.EUR</t>
  </si>
  <si>
    <t>Noslēgto līgumu summa (milj.EUR)</t>
  </si>
  <si>
    <t>Vidējā līguma vērtība, EUR</t>
  </si>
  <si>
    <t>Vidējā līguma vērtība, milj.EUR</t>
  </si>
  <si>
    <t>No-slēgto līgu-mu skaits</t>
  </si>
  <si>
    <t>Pavisam kopējā līgumu summa, milj.EUR</t>
  </si>
  <si>
    <t>SPSIL pamatojums</t>
  </si>
  <si>
    <t xml:space="preserve">Elektroenerģija </t>
  </si>
  <si>
    <t>t.sk.</t>
  </si>
  <si>
    <t>Pakalpoju-mu snie-dzēju skaits</t>
  </si>
  <si>
    <t>Pasūtītāju skaits, kopā</t>
  </si>
  <si>
    <t>Vidējā 10.panta līgumu vērtība (%)</t>
  </si>
  <si>
    <t>Pilsētas dzelzceļu, tramvaju, trolejbusu vai autobusu transporta pakalpojumu joma</t>
  </si>
  <si>
    <t>Pasta pakalpojumu nozare</t>
  </si>
  <si>
    <t>Jūras ostu vai iekšējo ostu, vai citu piestātņu pakalpojumu joma</t>
  </si>
  <si>
    <t>Lidostu pakalpojumu joma</t>
  </si>
  <si>
    <t>43 (137)</t>
  </si>
  <si>
    <t>32 (0)</t>
  </si>
  <si>
    <t>9 (0)</t>
  </si>
  <si>
    <t>21 (0)</t>
  </si>
  <si>
    <t>8 (7)</t>
  </si>
  <si>
    <t>1 (0)</t>
  </si>
  <si>
    <t>3 (0)</t>
  </si>
  <si>
    <t>12 (0)</t>
  </si>
  <si>
    <t>129 (144)</t>
  </si>
  <si>
    <t>No-slēgto līgu-mu un vispā-rīgo vieno-šanos  skaits</t>
  </si>
  <si>
    <t>No-slēgto līgumu un vispārīgo vieno-šanos  skaits</t>
  </si>
  <si>
    <t>Būvdarbi</t>
  </si>
  <si>
    <t>Preces</t>
  </si>
  <si>
    <t>Pakalpojumi</t>
  </si>
  <si>
    <t xml:space="preserve">1. A/S "Latvenergo" preču piegādes iepirkums, veicot sarunu procedūru ar konkursa izsludināšanu par "Rīgas HES hidroagregātu HA 1-HA6 rekonstrukciju", kuru līgumcena 105 381 000 EUR </t>
  </si>
  <si>
    <t>2. Rīgas pašvaldības SIA "Rīgas satiksme" preču piegādes iepirkums, veicot atklātu konkursu "Par dīzeļdegvielas piegādi", kuru līgumcena 60 000 000 EUR</t>
  </si>
  <si>
    <t>31 (0)</t>
  </si>
  <si>
    <t>30 (46)</t>
  </si>
  <si>
    <t>13 (91)</t>
  </si>
  <si>
    <t>6 (0)</t>
  </si>
  <si>
    <t>2 (0)</t>
  </si>
  <si>
    <t>17 (0)</t>
  </si>
  <si>
    <t>4 (0)</t>
  </si>
  <si>
    <t>7 (6)</t>
  </si>
  <si>
    <t>1 (1)</t>
  </si>
  <si>
    <t>7 (0)</t>
  </si>
  <si>
    <t>99 (52)</t>
  </si>
  <si>
    <t>27 (92)</t>
  </si>
  <si>
    <t xml:space="preserve">Lielākie iepirkumi (2015.g.):  </t>
  </si>
  <si>
    <t xml:space="preserve">3 (0) </t>
  </si>
  <si>
    <t>42 (29)</t>
  </si>
  <si>
    <t>10 (0)</t>
  </si>
  <si>
    <t>37 (0)</t>
  </si>
  <si>
    <t>11 (3)</t>
  </si>
  <si>
    <t>11 (1)</t>
  </si>
  <si>
    <t>119 (33)</t>
  </si>
  <si>
    <t>Vispārīgās vienošanās skaits</t>
  </si>
  <si>
    <t>Lielākie iepirkumi (2014.g.):</t>
  </si>
  <si>
    <t>1. A/S "Latvenergo" preču piegādes iepirkums, veicot sarunu procedūru ar konkursa izsludināšanu par "Ķeguma HES-2 hidroagregātu rekonstrukciju", kuru līgumcena 49 900 000 EUR</t>
  </si>
  <si>
    <t>2. VAS "Latvijas dzelzceļš" būvdarba iepirkums, veicot sarunu procedūru ar konkursa izsludināšanu par "Šķirotavas stacijas centralizācijas modernizācija" , kuru līgumcena 41 990 500 EUR</t>
  </si>
  <si>
    <t>nepublicējot dalības uzaicinājumu</t>
  </si>
  <si>
    <t>No-slēgto līgumu un vispā-rīgo vieno-šanos  skaits</t>
  </si>
  <si>
    <t>Iepirkumu veids</t>
  </si>
  <si>
    <t>Vispārīgā vienošanās</t>
  </si>
  <si>
    <t>Lielākie iepirkumi (2013.g.):</t>
  </si>
  <si>
    <t>1. Rīgas pašvaldības SIA "Rīgas satiksme" preču piegādes iepirkums, veicot atklātu konkursa izsludināšanu "Par trolejbusu piegādi", kuru līgumcena 131 646 135 EUR</t>
  </si>
  <si>
    <t>2. Rīgas pašvaldības SIA "Rīgas satiksme" preču piegādes iepirkums, veicot atklātu konkursa izsludināšanu "Par autobusu piegādi", kuru līgumcena 75 808 298 EUR</t>
  </si>
  <si>
    <t>Lielākie iepirkumi (2012.g.):</t>
  </si>
  <si>
    <t xml:space="preserve">1. AS "Pasažieru vilciens" preču piegādes iepirkums, veicot slēgtu konkursa izsludināšanu "Līgums par jaunu elektrovilcienu un dīzeļvilcienu iegādi", kuru līgumcena 610 757 053 EUR </t>
  </si>
  <si>
    <t>2. Rīgas Brīvostas pārvaldes būvdarbu iepirkumu, veicot slēgtu konkursu par "Infrastruktūras attīstība Krievu salā ostas aktivitāšu pārcelšanai no pilsētas centra, Rīga, Latvija", kuru līgumcena 88 707 159 EUR</t>
  </si>
  <si>
    <t>Nr.p.k.</t>
  </si>
  <si>
    <t>Darbības joma/ Sabiedrisko pakalpojumu sniedzējs</t>
  </si>
  <si>
    <t>Rīgas siltums, AS</t>
  </si>
  <si>
    <t>A/S "Latvijas Gāze"</t>
  </si>
  <si>
    <t>AS "Sadales tīkls"</t>
  </si>
  <si>
    <t>Akciju sabiedrība "Latvenergo"</t>
  </si>
  <si>
    <t>AS "Augstsprieguma tīkls"</t>
  </si>
  <si>
    <t>SIA "Rīgas ūdens"</t>
  </si>
  <si>
    <t>SIA Norma-A</t>
  </si>
  <si>
    <t>SIA Daugavpils autobusu parks</t>
  </si>
  <si>
    <t>Rīgas PSIA "Rīgas satiksme"</t>
  </si>
  <si>
    <t>AS "Daugavpils satiksme"</t>
  </si>
  <si>
    <t>Pasts</t>
  </si>
  <si>
    <t>VAS "Latvijas Pasts"</t>
  </si>
  <si>
    <t>VAS "Starptautiskā lidosta "Rīga""</t>
  </si>
  <si>
    <t>Latvija</t>
  </si>
  <si>
    <t>Itālija</t>
  </si>
  <si>
    <t>Igaunija</t>
  </si>
  <si>
    <t>Somija</t>
  </si>
  <si>
    <t>Lietuva</t>
  </si>
  <si>
    <t>Baltkrievija</t>
  </si>
  <si>
    <t>42100000-0</t>
  </si>
  <si>
    <t>Francija</t>
  </si>
  <si>
    <t>31174000-6</t>
  </si>
  <si>
    <t>Horvātija</t>
  </si>
  <si>
    <t>Bulgārija</t>
  </si>
  <si>
    <t>Čehija</t>
  </si>
  <si>
    <t>Austrija</t>
  </si>
  <si>
    <t>Polija</t>
  </si>
  <si>
    <t>34000000-7</t>
  </si>
  <si>
    <t>Vācija</t>
  </si>
  <si>
    <t xml:space="preserve">Joma </t>
  </si>
  <si>
    <t>CPV kods</t>
  </si>
  <si>
    <t>Valsts</t>
  </si>
  <si>
    <t>Noslēgtā līgumcena (EUR) bez PVN</t>
  </si>
  <si>
    <t>Komersantu valstiskā piederība</t>
  </si>
  <si>
    <t>Noslēgto līgumu summa EUR</t>
  </si>
  <si>
    <t>Dānija</t>
  </si>
  <si>
    <t>Zviedrija</t>
  </si>
  <si>
    <t>Naftas produkti, degviela, elektroenerģija un pārējie enerģijas avoti.</t>
  </si>
  <si>
    <t>09000000-3</t>
  </si>
  <si>
    <t>38000000-5</t>
  </si>
  <si>
    <t>24000000-4</t>
  </si>
  <si>
    <t>50000000-5</t>
  </si>
  <si>
    <t>Ķīmiskie produkti.</t>
  </si>
  <si>
    <t>Elektriskie mehānismi, aparāti, iekārtas un palīgmateriāli; apgaismojums.</t>
  </si>
  <si>
    <t>31000000-6</t>
  </si>
  <si>
    <t>Transporta iekārtas un palīgiekārtas transportēšanai.</t>
  </si>
  <si>
    <t>Laboratorijas, optiskās un precīzijas ierīces (izņemot brilles).</t>
  </si>
  <si>
    <t>Ražošanas iekārtas.</t>
  </si>
  <si>
    <t>42000000-6</t>
  </si>
  <si>
    <t>Remonta un apkopes pakalpojumi.</t>
  </si>
  <si>
    <t>IT pakalpojumi konsultēšana, programmatūras izstrāde, internets un atbalsts.</t>
  </si>
  <si>
    <t>72000000-5</t>
  </si>
  <si>
    <t>Noslēgtā līgumu summa, EUR</t>
  </si>
  <si>
    <t>Noslēgtā līgumu summa, milj.EUR</t>
  </si>
  <si>
    <t>Piegādātāji</t>
  </si>
  <si>
    <t>Latvijas</t>
  </si>
  <si>
    <t>Citas Eiropas Savienības valstis</t>
  </si>
  <si>
    <t>Citas valstis</t>
  </si>
  <si>
    <t>Būvdarbi, EUR</t>
  </si>
  <si>
    <t xml:space="preserve">Preču piegāde, EUR </t>
  </si>
  <si>
    <t xml:space="preserve">Īpatsvars (%) </t>
  </si>
  <si>
    <t>Vietējie</t>
  </si>
  <si>
    <t>Ārvalstu</t>
  </si>
  <si>
    <t xml:space="preserve">Kopā </t>
  </si>
  <si>
    <t>Noslēgto līgumu skaits ar piegādātājiem no:</t>
  </si>
  <si>
    <t>Ārvalstīm</t>
  </si>
  <si>
    <t>Noslēgtās līgumu summas ar piegādātājiem no:</t>
  </si>
  <si>
    <t>EUR</t>
  </si>
  <si>
    <t>Vietējie (% no kopējās līgumu summas)</t>
  </si>
  <si>
    <t>Citas valstis (% no kopējās līgumu summas)</t>
  </si>
  <si>
    <t>Vietējie (% no kopējā līgumu skaita)</t>
  </si>
  <si>
    <t>Citas valstis (% no kopējās līgumu skaita)</t>
  </si>
  <si>
    <t>CPV koda atšifrējums</t>
  </si>
  <si>
    <t>Noslēgto iepirkumu līgumu skaits</t>
  </si>
  <si>
    <t>Līgumu summa (milj.EUR)</t>
  </si>
  <si>
    <t>45000000-7</t>
  </si>
  <si>
    <t>Celtniecības darbi.</t>
  </si>
  <si>
    <t>Būvkonstrukcijas un materiāli, būvniecības palīgmateriāli (izņemot elektroierīces).</t>
  </si>
  <si>
    <t>44000000-0</t>
  </si>
  <si>
    <t>Finanšu un apdrošināšanas pakalpojumi.</t>
  </si>
  <si>
    <t>66000000-0</t>
  </si>
  <si>
    <t>Arhitektūras, būvniecības, inženiertehniskie un pārbaudes pakalpojumi.</t>
  </si>
  <si>
    <t>71000000-8</t>
  </si>
  <si>
    <t>Uzņēmējdarbības pakalpojumi: tiesības, tirgzinība, konsultēšana, darbinieku vervēšana, iespiešana un drošība.</t>
  </si>
  <si>
    <t>79000000-4</t>
  </si>
  <si>
    <t>Kopā:</t>
  </si>
  <si>
    <t>Prece</t>
  </si>
  <si>
    <t>Vidējā iepirkumu līgumu vērtība, EUR</t>
  </si>
  <si>
    <t>Būvdarbi (EUR)</t>
  </si>
  <si>
    <t>Preču piegāde (EUR)</t>
  </si>
  <si>
    <t>Pakal-pojumi (EUR)</t>
  </si>
  <si>
    <t xml:space="preserve">Kopā (EUR) </t>
  </si>
  <si>
    <t>Bāze: kopējā zem ES līgumcenu sliekšņa iepirkumu līgumu summa attiecīgajā gadā (milj.EUR)</t>
  </si>
  <si>
    <t>Zem ES līgumcenu sliekšņa noslēgto līgumu summu pieauguma temps pa iepirkumu veidiem, salīdzinot ar iepriekšējo gadu, %</t>
  </si>
  <si>
    <t>2011. gads</t>
  </si>
  <si>
    <t>2012. gads</t>
  </si>
  <si>
    <t>2013. gads</t>
  </si>
  <si>
    <t>2014. gads</t>
  </si>
  <si>
    <t>2015. gads</t>
  </si>
  <si>
    <t>Būvdarbu iepirkumi (milj.EUR)</t>
  </si>
  <si>
    <t>Preču iepirkumi (milj.EUR)</t>
  </si>
  <si>
    <t>Pakalpojumu iepirkumi (milj.EUR)</t>
  </si>
  <si>
    <t>2010. gads</t>
  </si>
  <si>
    <t>Būvdarbu iepirkumu vidējā vērtība (EUR)</t>
  </si>
  <si>
    <t>Preču iepirkumu vidējā vērtība (EUR)</t>
  </si>
  <si>
    <t>Pakalpojumu iepirkumu vidējā vērtība (EUR)</t>
  </si>
  <si>
    <t>Zem ES līgumcenu sliekšņa noslēgto līgumu summu pieauguma temps pa jomām pēc iepirkumu veidiem, salīdzinot ar iepriekšējo gadu, %</t>
  </si>
  <si>
    <t>IV.</t>
  </si>
  <si>
    <t xml:space="preserve">Zem ES līgumcenu sliekšņa veiktie iepirkumi </t>
  </si>
  <si>
    <t>V.</t>
  </si>
  <si>
    <t>Duālo_pasūtītāju_saraksts</t>
  </si>
  <si>
    <t>Virs_ES_saraksts</t>
  </si>
  <si>
    <t>III.</t>
  </si>
  <si>
    <t>Virs ES līgumcenu sliekšņa veiktie iepirkumi</t>
  </si>
  <si>
    <t>Procedūru veidi</t>
  </si>
  <si>
    <t>Procedūru</t>
  </si>
  <si>
    <t>Skaits</t>
  </si>
  <si>
    <t>Līgumu</t>
  </si>
  <si>
    <t>Procedūru skaits/ līgumu skaits</t>
  </si>
  <si>
    <t>Līgumu skaita īpatsvars (%)</t>
  </si>
  <si>
    <t>Summa, EUR</t>
  </si>
  <si>
    <t>Veicot atklātu konkursu</t>
  </si>
  <si>
    <t>Veicot slēgtu konkursu</t>
  </si>
  <si>
    <t>publicējot dalības uzaicinājumu</t>
  </si>
  <si>
    <t>Veicot sarunu procedūru</t>
  </si>
  <si>
    <t>Pavisam kopā:</t>
  </si>
  <si>
    <t>Sarunu procedūru gadījumi, kad nav publicēti dalības uzaicinājumi</t>
  </si>
  <si>
    <t>iepirkumu skaits</t>
  </si>
  <si>
    <t>Noslēgto līgumu summa, milj.EUR</t>
  </si>
  <si>
    <t>Noslēgto līgumu summu īpatsvars (%)</t>
  </si>
  <si>
    <t>Iepirkumu līgumu skaits</t>
  </si>
  <si>
    <t>Vispārīgo vienošanos skaits</t>
  </si>
  <si>
    <t>Īpatsvars, %</t>
  </si>
  <si>
    <t>Vidējā iepirkuma vērtība, EUR</t>
  </si>
  <si>
    <t>*) Katra gada procentuālais īpatsvars aprēķināts attiecībā pret</t>
  </si>
  <si>
    <t xml:space="preserve">iepriekšējo gadu </t>
  </si>
  <si>
    <t>Virs ES līgumcenu sliekšņa vidējās līgumu vērtību īpatsvaru svārstības pēc iepirkumu veidiem</t>
  </si>
  <si>
    <t>Kopējais pieaugums/ samazinājums</t>
  </si>
  <si>
    <t>Noslēgto līgumu summa</t>
  </si>
  <si>
    <t>Siltum-apgāde, gāze</t>
  </si>
  <si>
    <t>Elektro-enerģija</t>
  </si>
  <si>
    <t>Ūdens-apgāde</t>
  </si>
  <si>
    <t>Virs ES līgumcenu sliekšņa vidējās iepirkumu vērtības sadalījums pa jomām</t>
  </si>
  <si>
    <t>Virs ES līgumcenu sliekšņa noslēgto līgumu summu īpatsvars attiecībā pret iepirkumu veidiem pa jomām 2015.gadā, %</t>
  </si>
  <si>
    <t>Satura rādītājs</t>
  </si>
  <si>
    <t>I.</t>
  </si>
  <si>
    <t>Sabiedrisko pakalpojumu sniedzēju galveno rādītāju kopsavilkums</t>
  </si>
  <si>
    <t>II.</t>
  </si>
  <si>
    <t>Pārskatu apkopojuma metodoloģija</t>
  </si>
  <si>
    <t>Datu analīzes metode un datu atklātības princips</t>
  </si>
  <si>
    <t>Pārskata datu avots</t>
  </si>
  <si>
    <t>Pārskata sagatavošanas laiks un pieprasījuma mērķis</t>
  </si>
  <si>
    <t>Pārskata mērķis un uzdevumi</t>
  </si>
  <si>
    <t>Termini pārskatu apkopojumā lietoti un formulēti atbilstoši Sabiedrisko pakalpojumu sniedzēju iepirkumu likumam.</t>
  </si>
  <si>
    <t>II_Dinamika_sps_skaits_kopā_sum</t>
  </si>
  <si>
    <t>III_Virs_ES_iep_veidi_Tab_Din</t>
  </si>
  <si>
    <t>III_Virs_ES_Procedūras_Tab</t>
  </si>
  <si>
    <t>III_Virs_ES_CPV_kodu_sadalījums</t>
  </si>
  <si>
    <t>III_Virs_ES_ārvalstnieki_Tab</t>
  </si>
  <si>
    <t>III_Virs_ES_ārvalstnieki_Din</t>
  </si>
  <si>
    <t>IV_Zem_Tab</t>
  </si>
  <si>
    <t>IV_Zem_Din</t>
  </si>
  <si>
    <t>V_Izņēmumi_Tab</t>
  </si>
  <si>
    <t>V_Izņēmumi_Din</t>
  </si>
  <si>
    <t>VI.</t>
  </si>
  <si>
    <t>Virs un zem ES līgumcenu sliekšņa noslēgto līgumu summu pieauguma temps, salīdzinot ar iepriekšējo gadu, %</t>
  </si>
  <si>
    <t>Virs ES līgumcenu sliekšna līgumu summu īpatsvars (%)</t>
  </si>
  <si>
    <t>Zem ES līgumcenu sliekšņa līgumu summas īpatsvars (%)</t>
  </si>
  <si>
    <t>Virs ES līgumcenu sliekšņa noslēgto līgumu summu  pieauguma temps</t>
  </si>
  <si>
    <t>Zem ES līgumcenu sliekšņa noslēgto līgumu summu pieauguma temps</t>
  </si>
  <si>
    <t>Virs ES līgumcenu sliekšņa noslēgtā līgumu summa</t>
  </si>
  <si>
    <t>Zem ES līgumcenu sliekšņa noslēgtā līgumu summa</t>
  </si>
  <si>
    <t>Virs ES līgumcenu sliekšņa vidējās iepirkuma un līguma vērtības proporcionālais īpatsvars pret iepriekšējo gadu</t>
  </si>
  <si>
    <t>2010.gads (n=1 337,8 milj.EUR)</t>
  </si>
  <si>
    <t>2011.gads (n=867,2 milj.EUR)</t>
  </si>
  <si>
    <t>2012.gads (n=1496,6 milj.EUR)</t>
  </si>
  <si>
    <t>2013.gads (n=1255,1 milj.EUR)</t>
  </si>
  <si>
    <t>2014.gads (n=1364,4 milj.EUR)</t>
  </si>
  <si>
    <t>2015.gads (n=1170,2 milj.EUR)</t>
  </si>
  <si>
    <t>Noslēgtā līgumu summa (milj.EUR)</t>
  </si>
  <si>
    <t>II_Kopējā_dinamika</t>
  </si>
  <si>
    <t>Secinājumi</t>
  </si>
  <si>
    <t>Līgumu /vispārīgo vie-nošanās skaits</t>
  </si>
  <si>
    <t>Virs ES līgumcenu sliekšņa līgumu skaita un vispārīgās vienošanās proporcionālais īpatsvars, %</t>
  </si>
  <si>
    <t>III_Virs_ES_līgumu_vis.vien_Din</t>
  </si>
  <si>
    <t>Termini</t>
  </si>
  <si>
    <t>137 (243)</t>
  </si>
  <si>
    <t>238 (30)</t>
  </si>
  <si>
    <t>221 (28)</t>
  </si>
  <si>
    <t>235 (22)</t>
  </si>
  <si>
    <t>109 (39)</t>
  </si>
  <si>
    <t>240 (28)</t>
  </si>
  <si>
    <t>Virs ES līgumcenu sliekšņa vidējās iepirkumu vērtību īpatsvaru svārstības pēc iepirkumu veidiem*</t>
  </si>
  <si>
    <t>CPV apakškods</t>
  </si>
  <si>
    <t>CPV galvenais kods</t>
  </si>
  <si>
    <t xml:space="preserve">PU Vangažu namsaimnieks </t>
  </si>
  <si>
    <t>VII.</t>
  </si>
  <si>
    <t>Skultes ostas pārvalde</t>
  </si>
  <si>
    <t>SIA Grobiņas HES</t>
  </si>
  <si>
    <t>SIA "Garkalnes komunālserviss"</t>
  </si>
  <si>
    <t>SIA "Kusas nami"</t>
  </si>
  <si>
    <t>PSIA Maltas dzīvokļu komunālās saimniecības uzņēmums</t>
  </si>
  <si>
    <t>SIA Durbes KS</t>
  </si>
  <si>
    <t>SIA Kārsavas namsaimnieks</t>
  </si>
  <si>
    <t>55.</t>
  </si>
  <si>
    <t>56.</t>
  </si>
  <si>
    <t>A/S "Pasažieru vilciens"</t>
  </si>
  <si>
    <t>Liepājas speciālās ekonomiskās zonas pārvalde</t>
  </si>
  <si>
    <t>Rīgas brīvostas pārvalde</t>
  </si>
  <si>
    <t>Noslēgto līgumu /vis-pārīgo vieno-šanās skaits</t>
  </si>
  <si>
    <t>Viena līguma/ vispārīgās vieno-šanās vidējā vērtība, EUR</t>
  </si>
  <si>
    <t>2016.gads</t>
  </si>
  <si>
    <t xml:space="preserve">Lielākie iepirkumi (2016.g.):  </t>
  </si>
  <si>
    <t>1. A/S "Augstsprieguma tīkls" būvdarbu iepirkums, veicot sarunu procedūru ar konkursa izsludināšanu par "Kurzemes loka 110 kV elektropārvades līniju pārbūve posmā Ventspils – Tume – Rīga, pastiprinot ar 330 kV līniju", kuru līgumcena 110 535 950 EUR</t>
  </si>
  <si>
    <t xml:space="preserve">2. Rīgas pašvaldības SIA "Rīgas satiksme"pakalpojumu iepirkumu, veicot sarunu procedūru ar konkursa izsludināšanu " Par aizdevuma piešķiršanu investīciju projektu finansēšanai", kuru līgumcena 100 000 000 EUR </t>
  </si>
  <si>
    <t>2016. gadā</t>
  </si>
  <si>
    <t>0 (2)</t>
  </si>
  <si>
    <t>11 (17)</t>
  </si>
  <si>
    <t>13 (17)</t>
  </si>
  <si>
    <t>15 (5)</t>
  </si>
  <si>
    <t>2 (2)</t>
  </si>
  <si>
    <t>74 (35)</t>
  </si>
  <si>
    <t>28 (5)</t>
  </si>
  <si>
    <t>2016.gads (n=1408,2 milj.EUR)</t>
  </si>
  <si>
    <t>228 (22)</t>
  </si>
  <si>
    <t>Programmatūras pakotne un informācijas sistēmas.</t>
  </si>
  <si>
    <t>48000000-8</t>
  </si>
  <si>
    <t>64000000-6</t>
  </si>
  <si>
    <t>Pasta un telekomunikāciju pakalpojumi.</t>
  </si>
  <si>
    <t>No-slēgto iepirkumu līgumu skaits</t>
  </si>
  <si>
    <t>Īpat-svars (%)</t>
  </si>
  <si>
    <t>Līgumu summas ar ārvalstnie-kiem īpatsvars (%) pret kopējo līgumu summu</t>
  </si>
  <si>
    <t>t.s.k. līgumu summa ar ārvalstnie-kiem (milj.EUR)</t>
  </si>
  <si>
    <t>45252124-3</t>
  </si>
  <si>
    <t>Pakalpo-jumi, EUR</t>
  </si>
  <si>
    <t>Bul-gārija</t>
  </si>
  <si>
    <t>Hor-vātija</t>
  </si>
  <si>
    <t>Celtniecības darbi</t>
  </si>
  <si>
    <t>2016. gads</t>
  </si>
  <si>
    <t>30 (22)</t>
  </si>
  <si>
    <t>12(17)</t>
  </si>
  <si>
    <t>2 (1)</t>
  </si>
  <si>
    <t>104 (42)</t>
  </si>
  <si>
    <t>STATISTIKAS PĀRSKATU APKOPOJUMS PAR 2017.GADĀ SABIEDRISKO PAKALPOJUMU SNIEDZĒJU VEIKTAJIEM IEPIRKUMIEM</t>
  </si>
  <si>
    <t>Rīga, 2018</t>
  </si>
  <si>
    <t>Statistikas pārskatu apkopojums par 2017.gadā sabiedrisko pakalpojumu sniedzēju veiktajiem iepirkumiem</t>
  </si>
  <si>
    <t>I_kopā_2017</t>
  </si>
  <si>
    <t>Sabiedrisko pakalpojumu sniedzēju iepirkumu kopējā dinamika no 2010. līdz 2017.gadam</t>
  </si>
  <si>
    <t>III_Virs_ES_Tab_2012_2017</t>
  </si>
  <si>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2018.gada 1.marta līdz 2018.gada aprīlim.                                                                                                   Datu labošana un precizēšana, statistikas pārskatu apkopojuma sagatavošana                                  - no 2018.gada maija līdz 2018.gada jūnijam.</t>
  </si>
  <si>
    <t>Noslēgto līgumu summas (virs/zem ES sliekšņa un likuma piemērošanas izņēmumi) sadalījums pa darbības jomām 2017.gadā</t>
  </si>
  <si>
    <t>Iepirkumu skaita un noslēgto līgumu summu pieaugums (%) 2017.gadā (attiecībā pret 2016.gadu) pa jomām</t>
  </si>
  <si>
    <t>2017.gads</t>
  </si>
  <si>
    <t>Pārskatu sniedzēju skaits pa jomām no 2010. līdz 2017.gadam</t>
  </si>
  <si>
    <t>Sabiedrisko pakalpojumu sniedzēju skaita dinamika un īpatsvars, kuri veikuši virs ES līgumcenu sliekšņa iepirkumus no 2010. līdz 2017.gadam</t>
  </si>
  <si>
    <t>Virs ES līgumcenu sliekšņa noslēgto līgumu summu, iepirkumu un līgumu skaita dinamika no 2010. līdz 2017.gadam</t>
  </si>
  <si>
    <t>Noslēgto līgumu summu sadalījums virs un zem ES līgumcenu sliekšņa un izņēmumu iepirkumi laika posmā no 2012. līdz 2017.gadam</t>
  </si>
  <si>
    <t>Virs ES līgumcenu sliekšņa vidējās iepirkuma un līguma vērtības laika posmā no 2010. līdz 2017.gadam</t>
  </si>
  <si>
    <t>Noslēgto līgumu summu (virs un zem ES līgumcenu sliekšņa) īpatsvars attiecībā pret iepirkumu veidiem no 2010. līdz 2017.gadam</t>
  </si>
  <si>
    <t>Noslēgto līgumu summu (virs un zem ES līgumcenu sliekšņa) dinamika pēc iepirkumu veidiem no 2010. līdz 2017.gadam</t>
  </si>
  <si>
    <t>Kopējo noslēgto līgumu summu (virs un zem ES līgumcenu sliekšņa) īpatsvars pret sabiedrisko pakalpojumu sniedzēju jomām no 2010. līdz 2017.gadam, %</t>
  </si>
  <si>
    <t>Virs ES līgumcenu sliekšņa noslēgto līgumu summu dinamika pēc jomām no 2012. līdz 2017.gadam</t>
  </si>
  <si>
    <t>Virs ES līgumcenu sliekšņa veikto iepirkumu skaita sadalījums pēc iepirkumu veidiem 2017.gadā</t>
  </si>
  <si>
    <t>Virs ES līgumcenu sliekšņa noslēgto līgumu summu sadalījums pēc iepirkumu veidiem 2017.gadā, %</t>
  </si>
  <si>
    <t>Virs ES līgumcenu sliekšņa noslēgto līgumu summu dinamika pēc iepirkumu veidiem no 2010. līdz 2017.gadam</t>
  </si>
  <si>
    <t>Virs ES līgumcenu sliekšņa iepirkumu skaits, līgumu summu un vidējās iepirkumu vērtības pieaugums pēc iepirkumu veidiem 2017.gadā, attiecībā pret 2016.gadu</t>
  </si>
  <si>
    <t>Virs ES līgumcenu sliekšņa noslēgto līgumu skaita, līgumu summu un vidējās līgumu vērtības pieaugums pēc iepirkumu veidiem 2017.gadā, attiecībā pret 2016.gadu</t>
  </si>
  <si>
    <t>Virs ES līgumcenu sliekšņa iepirkumu skaita sadalījums pēc to jomām un iepirkumu veidiem 2017.gadā</t>
  </si>
  <si>
    <t>Virs ES līgumcenu sliekšņa noslēgto līgumu summu sadalījums pēc iepirkumu veidiem pa jomām 2017.gadā</t>
  </si>
  <si>
    <t>Iepirkumu, līgumu veidu skaita un summas sadalījums pēc procedūru veidiem virs ES līgumcenu sliekšņa 2017.gadā</t>
  </si>
  <si>
    <t>Līgumu skaita un līgumu summas sadalījums pēc sarunu procedūru izvēles, nepublicējot dalības uzaicinājumu nosacījumiem virs ES līgumcenu sliekšņa 2017.gadā</t>
  </si>
  <si>
    <t xml:space="preserve">Virs ES līgumcenu sliekšņa veikto iepirkumu sadalījums pēc piemērotās iepirkumu procedūras pa jomām 2017.gadā </t>
  </si>
  <si>
    <t>Virs ES līgumcenu sliekšņa iepirkumu līgumu summu dalījums CPV kodu grupās 2017.gadā (%)</t>
  </si>
  <si>
    <t>Virs ES līgumcenu sliekšņa noslēgto līgumu summu sadalījums pa jomām pēc CPV kodiem un pēc valstiskās piederības (bez Latvijas) 2017.gadā</t>
  </si>
  <si>
    <t>Virs ES līgumcenu sliekšņa noslēgto līgumu summu sadalījums pēc piegādātāju valstiskās piederības 2017.gadā un attiecībā pret 2016.gadu</t>
  </si>
  <si>
    <t>Noslēgto līgumu summa 2016.gadā, EUR</t>
  </si>
  <si>
    <t>Īpatsvars (%) attiecībā pret 2016.gadu</t>
  </si>
  <si>
    <t>Virs ES līgumcenu sliekšņa noslēgto līgumu summu un skaita sadalījums pēc piegādātāju valstiskās piederības 2017.gadā</t>
  </si>
  <si>
    <t>Virs ES līgumcenu sliekšņa noslēgto līgumu summu sadalījums pēc to piegādātājiem pa iepirkumu veidiem 2017.gadā</t>
  </si>
  <si>
    <t>Virs ES līgumcenu sliekšņa nolēgto līgumu skaita un summu sadalījums pēc jomām 2017.gadā</t>
  </si>
  <si>
    <t>Virs ES līgumcenu sliekšņa ar ārvalstu pretendentiem noslēgto līgumu summu sadalījums pēc CPV kodu klasifikatora 2017.gadā</t>
  </si>
  <si>
    <t>Virs ES līgumcenu sliekšņa ar ārvalstu pretendentiem noslēgto līgumu summu sadalījums pēc valstiskās piederības 2017.gadā</t>
  </si>
  <si>
    <t>Piegādātāju valstiskās piederības dinamika, % no kopējās līgumu skaita un kopējās līgumu summas no 2010. līdz 2017.gadam</t>
  </si>
  <si>
    <t>Noslēgto līgumu skaits pēc valstiskās piederības 2017.gadā</t>
  </si>
  <si>
    <t>Noslēgto iepirkumu līgumu skaita un noslēgtās līgumu summas zem ES līgumcenu sliekšņa sadalījums pa iepirkumu veidiem 2017.gadā</t>
  </si>
  <si>
    <t>Zem ES līgumcenu sliekšņa noslēgto līgumu summu sadalījums pēc iepirkumu veidiem pa sabiedrisko pakalpojumu sniedzēju jomām 2017.gadā</t>
  </si>
  <si>
    <t>Zem ES līgumcenu sliekšņa noslēgto līgumu summu sadalījums pēc iepirkumu veidiem sabiedrisko pakalpojumu sniedzēju jomu griezumā 2017.gadā</t>
  </si>
  <si>
    <t>Zem ES līgumcenu sliekšņa noslēgto līgumu summu sadalījums pēc sabiedrisko pakalpojumu sniedzēju jomām 2017.gadā, %</t>
  </si>
  <si>
    <t>Noslēgto līgumu summu īpatsvars zem ES līgumcenu sliekšņa pa iepirkumu veidiem no 2010. līdz 2017.gadam, %</t>
  </si>
  <si>
    <t>2017. gads</t>
  </si>
  <si>
    <t>Zem ES līgumcenu sliekšņa noslēgto līgumu summu un vidējās vērtības dinamika pēc iepirkumu veidiem no 2010. līdz 2017.gadam</t>
  </si>
  <si>
    <t xml:space="preserve">Īpatsvara pieaugums (%) attiecībā pret iepriekšējo 2016.gadu </t>
  </si>
  <si>
    <t>SPSIL 9. un 10.pantā minēto piemērošanas izņēmumu noslēgto līgumu summu un vidējās vērtības dinamika no 2012. līdz 2017.gadam</t>
  </si>
  <si>
    <t>Īpatsvars attiecībā pret 2016.gadu (%)</t>
  </si>
  <si>
    <t>Iepirkumi, par kuriem noslēgti līgumi, līgumu summas un līgumu slēdzēju skaita dinamika, piemērojot likuma izņēmumus, no 2012. līdz 2017.gadam</t>
  </si>
  <si>
    <t>Duālo pasūtītāju saraksts, kuri iesnieguši statistikas pārskatus par 2017.gadu</t>
  </si>
  <si>
    <t>Īpatsvara pieaugums (%) attiecībā pret 2016.gadu</t>
  </si>
  <si>
    <t>34144000-8</t>
  </si>
  <si>
    <t>76000000-3</t>
  </si>
  <si>
    <t>Turcija</t>
  </si>
  <si>
    <t>31300000-9</t>
  </si>
  <si>
    <t>72200000-7</t>
  </si>
  <si>
    <t>90910000-9</t>
  </si>
  <si>
    <t>72250000-2</t>
  </si>
  <si>
    <t>24313123-9</t>
  </si>
  <si>
    <t>24313125-3</t>
  </si>
  <si>
    <t>Baltinavas novada pašvaldība</t>
  </si>
  <si>
    <t>Pašvaldības SIA "Skrīveru saimnieks"</t>
  </si>
  <si>
    <t>SIA "Alojas Novada Saimniekserviss"</t>
  </si>
  <si>
    <t>57.</t>
  </si>
  <si>
    <t>SIA "Mūsu saimnieks"</t>
  </si>
  <si>
    <t>58.</t>
  </si>
  <si>
    <t>SIA "VĪGANTS"</t>
  </si>
  <si>
    <t>59.</t>
  </si>
  <si>
    <t>SIA "Līvānu siltums"</t>
  </si>
  <si>
    <t>60.</t>
  </si>
  <si>
    <t>SIA "Balteneko"</t>
  </si>
  <si>
    <t>61.</t>
  </si>
  <si>
    <t>SIA "Getliņi EKO"</t>
  </si>
  <si>
    <t>62.</t>
  </si>
  <si>
    <t>63.</t>
  </si>
  <si>
    <t>SIA "Grobiņas namserviss"</t>
  </si>
  <si>
    <t>SIA "Pļaviņu Komunālie pakalpojumi"</t>
  </si>
  <si>
    <t>64.</t>
  </si>
  <si>
    <t>SIA "Priekules nami"</t>
  </si>
  <si>
    <t>65.</t>
  </si>
  <si>
    <t>SIA "Saltavots"</t>
  </si>
  <si>
    <t>66.</t>
  </si>
  <si>
    <t>SIA "Vilkme"</t>
  </si>
  <si>
    <t>67.</t>
  </si>
  <si>
    <t>SIA "Ķeguma Stars"</t>
  </si>
  <si>
    <t>68.</t>
  </si>
  <si>
    <t>Varakļānu "Dzīvokļu komunālais uzņēmums" SIA</t>
  </si>
  <si>
    <t>69.</t>
  </si>
  <si>
    <t>Viļānu novada pašvaldība</t>
  </si>
  <si>
    <t>SIA "Jelgavas autobusu parks"</t>
  </si>
  <si>
    <t>Ventspils brīvostas pārvalde</t>
  </si>
  <si>
    <t>A/S "Conexus Baltic Grid"</t>
  </si>
  <si>
    <t>A/S "Gaso"</t>
  </si>
  <si>
    <t>SIA "Jelgavas ūdens"</t>
  </si>
  <si>
    <t xml:space="preserve">Īpatsvara pieaugums (%) attiecībā pret 2016.gadu </t>
  </si>
  <si>
    <t>10.panta 1.daļas 16.punkts</t>
  </si>
  <si>
    <t>10.panta 1.daļas 14.punkts</t>
  </si>
  <si>
    <t xml:space="preserve">12.pants </t>
  </si>
  <si>
    <t>11.panta 1.daļa</t>
  </si>
  <si>
    <t>10.panta 1.daļas 17.punkts</t>
  </si>
  <si>
    <t>10.panta 1.daļas 15.punkts</t>
  </si>
  <si>
    <t>10.panta 1.daļas 3.punkts</t>
  </si>
  <si>
    <t>Kopsavilkums par sabiedrisko pakalpojumu sniedzēju noslēgtajiem līgumiem, to summām virs ES līgumcenu sliekšņa 2017.gadā</t>
  </si>
  <si>
    <t>10.panta 1.daļas 10.punkts</t>
  </si>
  <si>
    <t>10.panta 1.daļas 1.punkts</t>
  </si>
  <si>
    <t>Kopējā līgumu summa (EUR), piemērojot 11.pantu</t>
  </si>
  <si>
    <t>10.panta 1.daļas 6.punkts</t>
  </si>
  <si>
    <t>Vidējā līgumu vērtība (EUR), piemērojot 11.pantu</t>
  </si>
  <si>
    <t>SPSIL 10., 11. un 12.pantā minēto piemērošanas izņēmumu noslēgto līgumu summu un vidējās vērtības dinamika no 2012. līdz 2017.gadam</t>
  </si>
  <si>
    <t>10. pants</t>
  </si>
  <si>
    <t>11.pants</t>
  </si>
  <si>
    <t>12.pants</t>
  </si>
  <si>
    <t>Vidējā 11.panta līgumu vērtība (%)</t>
  </si>
  <si>
    <t>Vidējā 12.panta līgumu vērtība (%)</t>
  </si>
  <si>
    <t>Pakalpo-jumu snie-dzēju skaits</t>
  </si>
  <si>
    <t>No-slēg-to līgu-mu skaits</t>
  </si>
  <si>
    <t>Īpat-svars (%) attie-cībā pret kopē-jo pasū-tītāju skaitu</t>
  </si>
  <si>
    <t>Īpat-svars (%) attie-cībā pret kopē-jo līgu-mu sum-mu</t>
  </si>
  <si>
    <t xml:space="preserve">Lielākie iepirkumi (2017.g.):  </t>
  </si>
  <si>
    <t>2. SIA "Jelgavas ūdens" būvdarbu iepirkums, veicot atklātu konkursu "Kanalizācijas un ūdensapgādes tīklu paplašināšana/rekonstrukcija Jelgavas pilsētā (7-33.posms) (projektēšana, būvdarbi, autoruzraudzība)", kuru līgumcena 20 999 980 EUR</t>
  </si>
  <si>
    <t>1. SIA "Rīgas satiksme" preču piegādes iepirkums, veicot atklātu konkursa izsludināšanu "Par tiesībām noslēgt vispārīgo vienošanos par iekārtu un materiālu piegādi elektrosaimniecībasvajadzībām", kuru līgumcena 40 000 000 EUR</t>
  </si>
  <si>
    <t>0(5)</t>
  </si>
  <si>
    <t>4(5)</t>
  </si>
  <si>
    <t>4(2)</t>
  </si>
  <si>
    <t>6(2)</t>
  </si>
  <si>
    <t>230(22)</t>
  </si>
  <si>
    <t>3(5)</t>
  </si>
  <si>
    <t>11(0)</t>
  </si>
  <si>
    <t>7(2)</t>
  </si>
  <si>
    <t>3(0)</t>
  </si>
  <si>
    <t>13(0)</t>
  </si>
  <si>
    <t>11(156)</t>
  </si>
  <si>
    <t>24(189)</t>
  </si>
  <si>
    <t>2(0)</t>
  </si>
  <si>
    <t>70(198)</t>
  </si>
  <si>
    <t>2017.gads (n=923,3 milj.EUR)</t>
  </si>
  <si>
    <t>2017. gadā</t>
  </si>
  <si>
    <t>Īpatsvars (%) attiecībā pret 2016. gadu</t>
  </si>
  <si>
    <t xml:space="preserve">2016. gadā </t>
  </si>
  <si>
    <t>Īpatsvars (%) attiecībā prete 2016. gadu</t>
  </si>
  <si>
    <t>Vidējā iepirkumu vērtība (EUR) 2016. gadā</t>
  </si>
  <si>
    <t>Vidējā iepirkumu vērtība (EUR) 2017.gadā</t>
  </si>
  <si>
    <t>Vidējās iepirkumu vērtības īpatsvars (%) attiecībā pret 2016.gadu</t>
  </si>
  <si>
    <t>22(28)</t>
  </si>
  <si>
    <t>10(10)</t>
  </si>
  <si>
    <t>32(38)</t>
  </si>
  <si>
    <t>Tehnisku iemeslu dēļ vai tādu iemeslu dēļ, kuri saistīti ar izņēmuma tiesību aizsardzību, līgumu var noslēgt tikai ar konkrētu piegādātāju</t>
  </si>
  <si>
    <t>32000000-3</t>
  </si>
  <si>
    <t>Radio, televīzijas, komunikāciju, telekomunikāciju un saistītās iekārtas un aparāti</t>
  </si>
  <si>
    <t>90000000-7</t>
  </si>
  <si>
    <t>Notekūdeņu, atkritumu, tīrīšanas un vides pakalpojumi.</t>
  </si>
  <si>
    <t>Lauksaimniecības, mežsaimniecības, dārzkopības, akvakultūras un biškopības pakalpojumi.</t>
  </si>
  <si>
    <t>77000000-0</t>
  </si>
  <si>
    <t>Lauksaimniecības tehnika.</t>
  </si>
  <si>
    <t>16000000-5</t>
  </si>
  <si>
    <t>Ar naftas un gāzes rūpniecību saistītie pakalpojumi.</t>
  </si>
  <si>
    <t>2017.gadā par sabiedrisko pakalpojumu sniedzēju veiktajiem iepirkumiem tika noslēgti līgumi par kopējo summu 1 237,6 milj.EUR, tajā skaitā par 276,8 milj.EUR noslēgti līgumi par iepirkumiem virs ES līgumcenu sliekšņa (summa attiecīgi pret 2016.gadu samazinājusies par 371,7,1 milj.EUR jeb 57,3% mazāk), par 646,4 milj.EUR noslēgti līgumi par iepirkumiem zem ES līgumcenu sliekšņa (summa attiecībā pret 2016.gadu samazinājusies par 113,1 milj.EUR jeb 14,9% mazāk), un par 314,4 milj.EUR noslēgti līgumi par iepirkumiem, piemērojot likuma izņēmumus (summa attiecībā pret 2016.gadu palielinājusies par 193,0 milj.EUR jeb 159,0% vairāk).</t>
  </si>
  <si>
    <t>2017.gadā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</si>
  <si>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t>Mērķis - sniegt informāciju par valstī notiekošajiem procesiem sabiedrisko pakalpojumu sniedzēju jomā, atklājot sabiedrisko pakalpojumu sniedzēju uzņēmumu veikto iepirkumu rezultātus 2017.gadā.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piemērotai iepirkumu procedūrai un noteiktajai līgumcenu robežai;              - atbilstoši iepirkumiem, nepiemērojot likuma procedūru regulējumu;                                  - atbilstoši likuma piemērošanas vispārīgiem izņēmumiem (10., 11. un 12. panta noteiktā kārtībā)</t>
  </si>
  <si>
    <t xml:space="preserve">SPSIL 10., 11. un 12.pantā minēto piemērošanas izņēmumu sadalījums pa jomām 2017.gadā </t>
  </si>
  <si>
    <t>Pārskata gadā veiktas 90 iepirkumu procedūras (virs ES līgumcenu sliekšņa) par kopējo līgumu summu 276,8 milj.EUR. Salīdzinot ar 2016.gadu, 2017.gadā skaits samazinājies par 8 iepirkumiem jeb 8,2%. Kopējā noslēgtā līgumu summa virs ES līgumcenu sliekšņa pret 2016.gadu ir samazinājusies par 371,8 milj.EUR jeb 57,3%.</t>
  </si>
  <si>
    <r>
      <t>Virs ES līgumcenu sliekšņa 2017.gadā lielāko noslēgto līgumu summu īpatsvaru veido preču iepirkumi -</t>
    </r>
    <r>
      <rPr>
        <b/>
        <sz val="11"/>
        <color theme="1"/>
        <rFont val="Calibri"/>
        <family val="2"/>
        <charset val="186"/>
        <scheme val="minor"/>
      </rPr>
      <t xml:space="preserve"> </t>
    </r>
    <r>
      <rPr>
        <sz val="11"/>
        <color theme="1"/>
        <rFont val="Calibri"/>
        <family val="2"/>
        <charset val="186"/>
        <scheme val="minor"/>
      </rPr>
      <t>164,1 milj.EUR (summa attiecībā pret 2016.gadu samazinājusies par 194,5 milj.EUR jeb 54,2%), kas veido 59,3% īpatsvaru no kopējās noslēgtās līgumu summas, tad seko pakalpojumu iepirkumi - 57,3 milj.EUR (summa attiecībā pret 2016.gadu ir samazinājusies par 108,5 milj. EUR jeb 65,4%) jeb 20,7%, un būvdarbu iepirkumi - 55,5</t>
    </r>
    <r>
      <rPr>
        <b/>
        <sz val="11"/>
        <color theme="1"/>
        <rFont val="Calibri"/>
        <family val="2"/>
        <charset val="186"/>
        <scheme val="minor"/>
      </rPr>
      <t xml:space="preserve"> </t>
    </r>
    <r>
      <rPr>
        <sz val="11"/>
        <color theme="1"/>
        <rFont val="Calibri"/>
        <family val="2"/>
        <charset val="186"/>
        <scheme val="minor"/>
      </rPr>
      <t>milj.EUR (summa samazinājusies par 68,7 milj.EUR jeb 55,3%) jeb 20,0% īpatsvars no kopējās noslēgtās līgumu summas virs ES līgumcenu sliekšņa.</t>
    </r>
  </si>
  <si>
    <t>14(33)</t>
  </si>
  <si>
    <t>39(35)</t>
  </si>
  <si>
    <t>30(158)</t>
  </si>
  <si>
    <t>25(189)</t>
  </si>
  <si>
    <t>5(5)</t>
  </si>
  <si>
    <t>72(198)</t>
  </si>
  <si>
    <t>8(91)</t>
  </si>
  <si>
    <t>29(34)</t>
  </si>
  <si>
    <t>61(72)</t>
  </si>
  <si>
    <t>21(107)</t>
  </si>
  <si>
    <t>29(198)</t>
  </si>
  <si>
    <t>Ar izņēmuma tiesību aizsardzību sasistītu iemeslu dēļ</t>
  </si>
  <si>
    <t>Papildu būvdarbus vai pakalpojumus nevar tehniski vai ekonomiski modalīt no iepriekš noslēgtajā līgumā paredzētajiem būvdarbiem vai pakapojumiem, neradot ievērojamas grūtības sabiedrisko pakalpojuma sniedzējiem, vai arī paoildu būvdarbi vai pakalpojumi ir būtiski nepieciešami iepriekš noslēgtā līguma izpildei, kaut arī tos iespējams nodalīt no šajā līgumā paredzētajiem būvdarbiem vai pakalpojumiem</t>
  </si>
  <si>
    <t>Papildu piegādes esošo preču vai iekārtu papildināšanai vai daļējai nomai</t>
  </si>
  <si>
    <t>76000000-0</t>
  </si>
  <si>
    <t>90000000-8</t>
  </si>
  <si>
    <t>IT pakalpojumi konsultēšana, programmatūras izstrāde, internets un atbalsts</t>
  </si>
  <si>
    <t>Ar naftas un gāzes rūpniecību saistītie pakalpojumi</t>
  </si>
  <si>
    <t>Notekūdeņu, atkritumu, tīrīšanas un vides pakalpojumi</t>
  </si>
  <si>
    <t>Balt-krievija</t>
  </si>
  <si>
    <t>2017.gadā no 270 noslēgtajiem līgumiem (virs ES līgumcenu sliekšņa) 250 līgumi (jeb 92,6% īpatsvara no kopējā līgumu skaita) tika slēgti ar Latvijas piegādātājiem par 232,3 milj.EUR (83,9% īpatsvars no kopējās virs ES līgumcenu sliekšņa noslēgtās līgumu summas), 17 līgumi (6,3% īpatsvars no kopējā līgumu skaita) tika slēgti ar citām Eiropas Savienības valstīm par 38,2 milj.EUR (13,8% īpatsvars no kopējās virs ES līgumcenu sliekšņa noslēgtās līgumu summas) un 3 līgumi (1,1% īpatsvars no kopējā līgumu skaita) slēgts ar citām valstīm par 6,3 milj.EUR (jeb 2,3% īpatsvara no kopējās virs ES līgumcenu sliekšņa noslēgtās summas).</t>
  </si>
  <si>
    <r>
      <t>2017.gadā virs ES līgumcenu sliekšņa kopējā vidējā iepirkumu vērtība ir 3 075 860 EUR</t>
    </r>
    <r>
      <rPr>
        <i/>
        <sz val="11"/>
        <color theme="1"/>
        <rFont val="Calibri"/>
        <family val="2"/>
        <charset val="186"/>
        <scheme val="minor"/>
      </rPr>
      <t xml:space="preserve"> </t>
    </r>
    <r>
      <rPr>
        <sz val="11"/>
        <color theme="1"/>
        <rFont val="Calibri"/>
        <family val="2"/>
        <charset val="186"/>
        <scheme val="minor"/>
      </rPr>
      <t>(vidējā vērtība attiecībā pret 2016.gadu samazinājusies par 3,5 milj.EUR jeb 53,5%). Būvdarbu iepirkumiem virs ES līgumcenu sliekšņa vidējā iepirkumu vērtība ir 13 866 646 EUR (vidējā vērtība attiecībā pret 2016.gadu samazinājusies par 27,5 milj.EUR jeb 66,5%), preču iepirkumiem vidējā vērtība ir 3 217 270 EUR (salīdzinot ar 2016.gadu, 2017.gadā vidējā vērtība samazinājusies par 2,0 milj.EUR jeb 38,9%), savukārt pakalpojumu iepirkumu vidējā vērtība ir 1 636 574 EUR (salīdzinot ar 2016.gadu, 2017.gadā vidējā vērtība ir samazinājusies par 4,5 milj.EUR jeb 73,3%).</t>
    </r>
  </si>
  <si>
    <t>Pārskata gadā zem ES līgumcenu sliekšņa veikti 143 470 iepirkumi par kopējo līgumu summu 646,4 milj.EUR. Salīdzinot ar 2016.gadu, 2017.gadā kopējā noslēgto līgumu summa zem ES līgumcenu sliekšņa pret 2016.gadu ir samazinājusies par 113,2 milj.EUR jeb 14,9%.</t>
  </si>
  <si>
    <t>Zem ES līgumcenu sliekšņa 2017.gadā lielāko noslēgto līgumu summu īpatsvaru veido pakalpojumu iepirkumi - 280,6 milj.EUR, kas veido 43,4% īpatsvaru no kopējās noslēgtās līgumu summas, tad seko būvdarbu iepirkumi - 206,0 milj.EUR, jeb 24,7%, un piegāžu iepirkumi - 159,7 milj.EUR jeb 24,7% īpatsvara no kopējās noslēgtās līgumu summas zem ES līgumcenu sliekšņa.</t>
  </si>
  <si>
    <t>Zem ES līgumcenu sliekšņa kopējā vidējā iepirkumu vērtība ir 4 506 EUR (vidējā vērtība attiecībā pret 2016.gadu samazinājusies par 1 032 EUR jeb 18,6%). Būvdarbu iepirkumiem zem ES līgumcenu sliekšņa vidējā iepirkumu vērtība ir 33 764 EUR (vidējā iepirkumu vērtība attiecībā pret 2016.gadu pieaugusi par 6 008 EUR jeb 21,6%), preču iepirkumiem vidējā vērtība ir 2 220 EUR (salīdzinot ar 2016.gadu, 2017.gadā vidējā vērtība samazinājusies par 391 EUR jeb 14,9%), savukārt pakalpojumu iepirkumu vidējā vērtība ir 4 290 EUR (salīdzinot ar 2016.gadu, 2017.gadā vidējā vērtība ir samazinājusies par 2 374 EUR jeb 35,6%).</t>
  </si>
  <si>
    <t>Statistikas datu avots - sabiedrisko pakalpojumu sniedzēju sniegtie pārskati par 2017.gadā veiktajiem iepirkumiem un to noslēgtajām līgumu summām:                              - 230 pārskati Nr.2-SPSIL - Pārskats par sabiedrisko pakalpojumu sniedzēju iepirkumiem.</t>
  </si>
  <si>
    <t>Siltum-apgāde</t>
  </si>
  <si>
    <t xml:space="preserve">Iepirkumu uzraudzības birojs 2017.gadā ir apkopojis 230 iesniegtos sabiedrisko pakalpojumu sniedzēju gada pārskatus, t.sk. 69 pārskati saņemti no uzņēmumiem, kuri piemēro arī "Publisko iepirkumu likumu", kam ir duāls raksturs. Salīdzinot ar 2016.gadu, 2017.gadā statistikas pārskatu skaits pieaudzis par 2 jeb 0,9% un duālo pasūtītāju skaits pieaudzis par 13 jeb 23,2%. </t>
  </si>
  <si>
    <t>No 230 sabiedrisko pakalpojumu sniedzēju iesniegtajiem gada pārskatiem 22 uzņēmumi jeb 9,6% piemērojuši iepirkuma procedūru, veicot iepirkumus atbilstoši Sabiedrisko pakalpojumu sniedzēju iepirkumu likuma prasībām. Arī 2016.gadā minētais rādītājs bija 9,6%.</t>
  </si>
  <si>
    <t>2017.gadā lielāko noslēgto līgumu summas īpatsvaru veido iepirkumi, kas veikti zem ES līgumcenu sliekšņa - 52,2% no kopējās noslēgtās līgumu summas, savukārt iepirkumi virs ES līgumcenu sliekšņa veido 22,4% lielu īpatsvaru no kopējās noslēgto līgumu summas, un iepirkumi, piemērojot likuma izņēmumus - 25,4% no kopējās noslēgto līgumu summas. Salīdzinot ar 2016.gadu, procentuālais īpatsvars ir atšķirīgs iepirkumiem virs ES līgumcenu sliekšņa un likuma piemērošanas izņēmumiem, kur virs ES līgumcenu sliekšņa iepirkumu īpatsvars uz pusi samazinājies (par 20 vienībām), bet likuma piemērošanas izņēmumi trīskārtīgi palielinājušies (par 17,5 vienībām). Salīdzinot ar iepriekšējo gadu, noslēgto līgumu summu īpatsvars zem ES līgumcenu sliekšņa saglabājies iepriekšējā gada robežās (starpība 2,6 vienības).</t>
  </si>
  <si>
    <t>Virs un zem ES līgumcenu sliekšņa 2017.gadā saglabājās iepriekšējā gada tendence, un lielāko noslēgto līgumu summu īpatsvaru veido pakalpojumu iepirkumi - 337,9 milj.EUR (summa attiecībā pret 2016.gadu samazinājusies par 254,3 milj. EUR jeb 42,9%), kas veido 36,6% īpatsvaru no kopējās noslēgtās līgumu summas, tad seko piegāžu iepirkumi - 323,8 milj.EUR (summa attiecībā pret 2016.gadu ir samazinājusies par 211,0 milj.EUR jeb 39,5%) jeb 35,1%, un būvdarbu iepirkumi - 261,6 milj.EUR (summa samazinājusies par 19,4 milj.EUR jeb 6,9%) jeb 28,3% īpatsvars no kopējās noslēgtās līgumu summas virs un zem ES līgumcenu sliekšņa.</t>
  </si>
  <si>
    <r>
      <t>2017.gadā lielākā kopējā noslēgto līgumu summa virs un zem ES līgumcenu sliekšņa ir elektroenerģijas jomas uzņēmumiem -</t>
    </r>
    <r>
      <rPr>
        <b/>
        <sz val="11"/>
        <color theme="1"/>
        <rFont val="Calibri"/>
        <family val="2"/>
        <charset val="186"/>
        <scheme val="minor"/>
      </rPr>
      <t xml:space="preserve"> </t>
    </r>
    <r>
      <rPr>
        <sz val="11"/>
        <color theme="1"/>
        <rFont val="Calibri"/>
        <family val="2"/>
        <charset val="186"/>
        <scheme val="minor"/>
      </rPr>
      <t>272,6 milj.EUR (summa attiecībā pret 2016.gadu ir samazinājusies par 461,1 milj.EUR jeb 62,8%), kas veido 29,5% no kopējās noslēgtās līgumu summas. Arī 2016.gadā lielākā kopējā noslēgto līgumu summa virs un zem ES līgumcenu sliekšņa bija elektroenerģijas jomas uzņēmumiem. Mazākā kopējā noslēgto līgumu summa virs un zem ES līgumcenu sliekšņa ir lidostas jomas uzņēmumiem - 11,3 milj.EUR (summa attiecībā pret 2016.gadu ir samazinājusies par 5,3 milj.EUR jeb 31,8%) jeb 1,2% no kopējās noslēgto līgumu summas. 2016.gadā mazākā noslēgto līgumu summa virs un zem ES līgumcenu sliekšņa bija pasta pakalpojumu jomas uzņēmumiem.</t>
    </r>
  </si>
  <si>
    <t>Sabiedrisko pakalpojumu sniedzēju iepirkumu likuma ietvaros virs ES līgumcenu sliekšņa, veicot 90 iepirkumus, noslēgti 270 līgumi, kuru skaits, salīdzinot ar 2016.gadu, pieaudzis par 124 līgumiem jeb 84,9%.</t>
  </si>
  <si>
    <t>Veicot 90 iepirkumus virs ES līgumcenu sliekšņa, piemēroti 50 atklāti konkursi, 40 sarunu procedūras, t.sk. 10, nepublicējot dalības uzaicinājumu, un 30, publicējot dalības uzaicinājumu, par kuriem noslēgti 270 līgumi, tai skaitā 198 vispārīgās vienošanās. Salīdzinot ar 2016.gadu, 2017.gadā atklāto konkursu skaits samazinājies par 1 procedūru jeb 1,9%, arī sarunu procedūru skaits 2017.gadā samazinājies par 7 procedūrām jeb 14,9%, bet slēgts konkurss netika piemērots. Metu konkurss 2017.gadā netika piemērots. Vispārīgās vienošanās skaits palielinājies par 156 vienībām jeb par 371,4% vairāk kā gadu iepriekš.</t>
  </si>
  <si>
    <r>
      <t>Pamatojoties uz Sabiedrisko pakalpojumu sniedzēju iepirkumu likuma 10., 11. un 12.panta piemērošanas izņēmumiem, 2017.gadā 50 uzņēmumi noslēguši 352 līgumus par kopējo līgumu summu 314,4 m</t>
    </r>
    <r>
      <rPr>
        <i/>
        <sz val="11"/>
        <color theme="1"/>
        <rFont val="Calibri"/>
        <family val="2"/>
        <charset val="186"/>
        <scheme val="minor"/>
      </rPr>
      <t>i</t>
    </r>
    <r>
      <rPr>
        <sz val="11"/>
        <color theme="1"/>
        <rFont val="Calibri"/>
        <family val="2"/>
        <charset val="186"/>
        <scheme val="minor"/>
      </rPr>
      <t>lj.EUR (summa attiecībā pret 2016.gadu palielinājusies par 193,0 milj.EUR jeb 159,0%). Lielākie likuma izņēmumu piemērotāji ir siltumapgādes, gāzes jomas uzņēmumi, kur noslēgti 158 līgumi (līgumu skaits attiecībā pret 2016.gadu palielinājies par 48 līgumiem jeb 43,6%), savukārt lielākā noslēgtā līgumu summa ir pasažieru pārvadājumu jomas uzņēmumiem, kur kopējā noslēgto līgumu summa ir 135,0 milj.EUR (summa attiecībā pret 2016.gadu palielinājusies par 135,0 milj.EUR jeb 100,0%).</t>
    </r>
  </si>
  <si>
    <t xml:space="preserve">Sabiedrisko pakalpojumu sniedzēju apjomīgāko līgumu virs ES līgumcenu sliekšņa slēdzis pasažieru pārvadājumu jomas uzņēmums SIA "Rīgas satiksme" preču piegādes iepirkumā "Par tiesībām noslēgt vispārīgo vienošanos par iekārtu un materiālu piegādi elektrosaimniecības vajadzībām" par 40,0 milj.EUR. Bet lielākie iepirkuma veicēji (kopā 45 iepirkumi) virs ES līgumcenu sliekšņa ir elektroenerģijas jomas uzņēmumi. </t>
  </si>
  <si>
    <t>2017.gadā virs ES līgumcenu sliekšņa lielāko noslēgto līgumu summu par veiktajiem iepirkumiem CPV pamatkodu grupās veidoja elektriskie mehānismi, aparāti, iekārtas un palīgmateriāli; apgaismojums (CPV 31000000-6) - kopsummā par 84,8 milj.EUR. Otru lielāko līgumu summu uzrāda celtniecības darbi (CPV 45000000-7) - kopsummā par 55,4 milj.EUR, un tad seko naftas produkti, degviela, elektroenerģija un pārējie enerģijas avoti (CPV 09000000-3) - kopsummā 34,0 milj.EUR. Savukārt 2016.gadā virs ES līgumcenu sliekšņa lielāko noslēgto līgumu summu par veiktajiem iepirkumiem veidoja transporta iekārtas un palīgiekārtas transportēšanai (34000000-7).</t>
  </si>
  <si>
    <t>2017.gadā lielākā zem ES līgumcenu sliekšņa noslēgtā līgumu summa ir siltumapgādes jomas uzņēmumiem - 191,4 milj.EUR jeb 55,9% īpatsvars no kopējās noslēgto līgumu summas zem ES līgumcenas. 2016.gadā līderos bija elektroenerģijas jomas uzņēmumi.</t>
  </si>
  <si>
    <t>Datu apkopojuma metode balstīta sistēmā, kad sākotnēji tiek izteikta skaitliskā informācija par iepirkumu skaitu, noslēgtajiem līgumiem un līgumu summām pa jomām, tad izteiktas skaitliskās attiecībās pret  iepriekšējo gadu un noteiktās iepirkumu grupās (pēc iepirkuma veida, iepirkumu nomenklatūras (CPV), piemērotās procedūras, līgumu un vispārīgās vienošanās proporcijas un valstisko piederību rādītāji) un dinamika.                                                                                                         Galvenie statistikas pārskata rādītāji - iepirkumu skaits, noslēgtie līgumi un to līgumu summa.                                                                                                                                           Pārskata dati par sabiedrisko pakalpojumu sniedzēju iepirkumiem ir publiski pieejama informācija, kas pārskatu apkopojumā tiek izteikti pēc publiski pieejamas informācijas principa. Pārskatu apkopojums nesatur konfidenciālu vai ierobežota satura informāciju.                                                                                                           Iepirkumu skaita un līgumu summu izmaiņu analīzei 2017.gada pārskatā izmantota informācija/ dati arī no:                                                                                                                          - iepriekšējo gadu Iepirkumu uzraudzības biroja statistikas pārskatiem un Publikāciju vadības sistēmas.</t>
  </si>
  <si>
    <t>Pārskatā lietotie saīsinājumi:</t>
  </si>
  <si>
    <t>IUB - Iepirkumu uzraudzības birojs;</t>
  </si>
  <si>
    <t>SPSIL - Sabiedrisko pakalpojumu sniedzēju iepirkumu likums;</t>
  </si>
  <si>
    <t>PIL - Publisko iepirkumu likums;</t>
  </si>
  <si>
    <t>SPS - sabiedrisko pakalpojumu sniedzēji;</t>
  </si>
  <si>
    <t>CPV - Common Procurement Vocabulary jeb kopējā iepirkumu vārdnīca;</t>
  </si>
  <si>
    <t>PVS - Publikāciju vadības sistēma;</t>
  </si>
  <si>
    <t>Virs ES sliekšņa - paredzamā līgumcena preču un pakalpojumu iepirkumiem - sākot no 418 000 EUR, un būvdarbu iepirkumiem - sākot no 5 225 000 EUR ir vienāda ar Ministru kabineta noteikumos noteikto līgumcenas robežvērtību vai lielāka;</t>
  </si>
  <si>
    <t>Zem ES sliekšņa - paredzamā līgumcena preču un pakalpojumu iepirkumiem sākot no 1 līdz 417 999 EUR, un būvdarbiem sākot no 1 līdz 5 224 999 EUR;</t>
  </si>
  <si>
    <t>Duāls  pasūtītājs - tāds sabiedrisko pakalpojumu sniedzējs, kurš piemēro arī Publisko iepirkumu likumu.</t>
  </si>
  <si>
    <t>Sabiedrisko pakalpojumu sniedzēju skaita un to iepirkumu kopējā līgumsumma                                                      no 2010. līdz 2017.gadam</t>
  </si>
  <si>
    <t>Pasažiera pārvadājumi</t>
  </si>
  <si>
    <t>Dzelzceļa pakalpojumi</t>
  </si>
  <si>
    <t>Dzelzceļa transporta pakalpojumu joma</t>
  </si>
  <si>
    <t>Dzelzceļa transporta pakalpojumi</t>
  </si>
  <si>
    <t>Piemēroto izņēmumu līgumu summas īpatsvars (%)</t>
  </si>
  <si>
    <t>2076. gadā</t>
  </si>
  <si>
    <t>Pakal-pojumi</t>
  </si>
  <si>
    <t>Kopējā līgumu summa (EUR), piemērojot 10.pantu</t>
  </si>
  <si>
    <t>Kopējā līgumu summa (EUR), piemērojot 12.pantu</t>
  </si>
  <si>
    <t>Vidējā līgumu vērtība (EUR), piemērojot 10.pantu</t>
  </si>
  <si>
    <t>Vidējā līgumu vērtība (EUR), piemērojot 12.pantu</t>
  </si>
  <si>
    <t>Piemē-roto izņēmu-mu līgumu summas īpatsvars (%)</t>
  </si>
  <si>
    <t>Virs ES līgumcenu sliekšņa iepirkumu skaita, noslēgto līgumu un un vispārīgo vienošanos skaita dinamika no 2012. līdz 2017.gadam</t>
  </si>
  <si>
    <t>Virs ES līgumcenu sliekšņa iepirkumu skaita, līgumu un vispārīgo vienošanos skaita proporcionālais īpatsvars pret iepriekšējo gadu</t>
  </si>
  <si>
    <t>Vidējais līgumu vai vispārīgo vienošanos skaits uz iepirkumu</t>
  </si>
  <si>
    <t>Kopā noslēgto līgumu un vispārīgo vienošanos 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</si>
</sst>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_ ;\-#,##0\ "/>
  </numFmts>
  <fonts count="11" x14ac:knownFonts="1">
    <font>
      <sz val="11"/>
      <color theme="1"/>
      <name val="Calibri"/>
      <family val="2"/>
      <charset val="186"/>
      <scheme val="minor"/>
    </font>
    <font>
      <b/>
      <sz val="11"/>
      <color theme="1"/>
      <name val="Calibri"/>
      <family val="2"/>
      <charset val="186"/>
      <scheme val="minor"/>
    </font>
    <font>
      <b/>
      <sz val="11"/>
      <color theme="4" tint="-0.249977111117893"/>
      <name val="Calibri"/>
      <family val="2"/>
      <charset val="186"/>
      <scheme val="minor"/>
    </font>
    <font>
      <sz val="10"/>
      <name val="Times New Roman"/>
      <family val="1"/>
      <charset val="186"/>
    </font>
    <font>
      <b/>
      <u/>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1"/>
      <color theme="4"/>
      <name val="Calibri"/>
      <family val="2"/>
      <charset val="186"/>
      <scheme val="minor"/>
    </font>
    <font>
      <sz val="10"/>
      <color indexed="8"/>
      <name val="Arial"/>
      <family val="2"/>
      <charset val="186"/>
    </font>
    <font>
      <b/>
      <sz val="11"/>
      <name val="Calibri"/>
      <family val="2"/>
      <charset val="186"/>
      <scheme val="minor"/>
    </font>
    <font>
      <sz val="11"/>
      <name val="Calibri"/>
      <family val="2"/>
      <charset val="186"/>
      <scheme val="minor"/>
    </font>
  </fonts>
  <fills count="2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gray0625">
        <bgColor theme="6" tint="0.5999938962981048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gray0625"/>
    </fill>
    <fill>
      <patternFill patternType="gray0625">
        <bgColor theme="0"/>
      </patternFill>
    </fill>
    <fill>
      <patternFill patternType="solid">
        <fgColor rgb="FFFFC000"/>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7C80"/>
        <bgColor indexed="64"/>
      </patternFill>
    </fill>
    <fill>
      <patternFill patternType="solid">
        <fgColor rgb="FFB482DA"/>
        <bgColor indexed="64"/>
      </patternFill>
    </fill>
    <fill>
      <patternFill patternType="solid">
        <fgColor rgb="FFB685DB"/>
        <bgColor indexed="64"/>
      </patternFill>
    </fill>
    <fill>
      <patternFill patternType="solid">
        <fgColor rgb="FFF1A06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style="mediumDashed">
        <color indexed="64"/>
      </left>
      <right style="thin">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8" fillId="0" borderId="0" applyNumberFormat="0" applyFill="0" applyProtection="0"/>
  </cellStyleXfs>
  <cellXfs count="516">
    <xf numFmtId="0" fontId="0" fillId="0" borderId="0" xfId="0"/>
    <xf numFmtId="0" fontId="0" fillId="2" borderId="1" xfId="0" applyFill="1" applyBorder="1" applyAlignment="1">
      <alignment horizontal="center" wrapText="1"/>
    </xf>
    <xf numFmtId="0" fontId="0" fillId="0" borderId="1" xfId="0" applyBorder="1"/>
    <xf numFmtId="0" fontId="1" fillId="2" borderId="1" xfId="0" applyFont="1" applyFill="1" applyBorder="1" applyAlignment="1">
      <alignment horizontal="right"/>
    </xf>
    <xf numFmtId="0" fontId="0" fillId="2" borderId="1" xfId="0" applyFill="1" applyBorder="1"/>
    <xf numFmtId="0" fontId="1" fillId="2" borderId="1" xfId="0" applyFont="1" applyFill="1" applyBorder="1"/>
    <xf numFmtId="3" fontId="0" fillId="0" borderId="1" xfId="0" applyNumberFormat="1" applyBorder="1"/>
    <xf numFmtId="3" fontId="1" fillId="2" borderId="1" xfId="0" applyNumberFormat="1" applyFont="1" applyFill="1" applyBorder="1"/>
    <xf numFmtId="164" fontId="0" fillId="0" borderId="1" xfId="0" applyNumberFormat="1" applyBorder="1"/>
    <xf numFmtId="164" fontId="1" fillId="2" borderId="1" xfId="0" applyNumberFormat="1" applyFont="1" applyFill="1" applyBorder="1"/>
    <xf numFmtId="0" fontId="0" fillId="0" borderId="1" xfId="0" applyBorder="1" applyAlignment="1">
      <alignment wrapText="1"/>
    </xf>
    <xf numFmtId="2" fontId="0" fillId="0" borderId="3" xfId="0" applyNumberFormat="1" applyBorder="1" applyAlignment="1">
      <alignment wrapText="1"/>
    </xf>
    <xf numFmtId="0" fontId="0" fillId="0" borderId="3" xfId="0" applyBorder="1"/>
    <xf numFmtId="0" fontId="0" fillId="0" borderId="2" xfId="0" applyBorder="1"/>
    <xf numFmtId="0" fontId="1" fillId="0" borderId="0" xfId="0" applyFont="1"/>
    <xf numFmtId="0" fontId="0" fillId="0" borderId="0" xfId="0" applyBorder="1" applyAlignment="1">
      <alignment wrapText="1"/>
    </xf>
    <xf numFmtId="0" fontId="0" fillId="0" borderId="0" xfId="0" applyBorder="1"/>
    <xf numFmtId="0" fontId="0" fillId="0" borderId="0" xfId="0" applyAlignment="1">
      <alignment wrapText="1"/>
    </xf>
    <xf numFmtId="165" fontId="0" fillId="0" borderId="1" xfId="0" applyNumberFormat="1" applyBorder="1"/>
    <xf numFmtId="3" fontId="0" fillId="0" borderId="3" xfId="0" applyNumberFormat="1" applyBorder="1"/>
    <xf numFmtId="164" fontId="0" fillId="0" borderId="5" xfId="0" applyNumberFormat="1" applyBorder="1"/>
    <xf numFmtId="0" fontId="2" fillId="0" borderId="0" xfId="0" applyFont="1"/>
    <xf numFmtId="0" fontId="0" fillId="0" borderId="7" xfId="0" applyBorder="1"/>
    <xf numFmtId="3" fontId="0" fillId="0" borderId="8" xfId="0" applyNumberFormat="1" applyBorder="1"/>
    <xf numFmtId="3" fontId="0" fillId="0" borderId="0" xfId="0" applyNumberFormat="1"/>
    <xf numFmtId="3" fontId="0" fillId="0" borderId="0" xfId="0" applyNumberFormat="1" applyBorder="1"/>
    <xf numFmtId="3" fontId="0" fillId="0" borderId="1" xfId="0" applyNumberFormat="1" applyBorder="1" applyAlignment="1"/>
    <xf numFmtId="0" fontId="0" fillId="0" borderId="10" xfId="0" applyBorder="1"/>
    <xf numFmtId="3" fontId="0" fillId="0" borderId="10" xfId="0" applyNumberFormat="1" applyBorder="1"/>
    <xf numFmtId="0" fontId="0" fillId="4" borderId="6" xfId="0" applyFill="1" applyBorder="1"/>
    <xf numFmtId="0" fontId="0" fillId="4" borderId="3" xfId="0" applyFill="1" applyBorder="1"/>
    <xf numFmtId="3" fontId="0" fillId="0" borderId="0" xfId="0" applyNumberFormat="1" applyFill="1" applyBorder="1"/>
    <xf numFmtId="165" fontId="0" fillId="0" borderId="1" xfId="0" applyNumberFormat="1" applyFill="1" applyBorder="1"/>
    <xf numFmtId="0" fontId="0" fillId="0" borderId="9" xfId="0" applyBorder="1"/>
    <xf numFmtId="0" fontId="0" fillId="3" borderId="0" xfId="0" applyFill="1" applyBorder="1" applyAlignment="1">
      <alignment horizontal="center" vertical="center" wrapText="1"/>
    </xf>
    <xf numFmtId="3" fontId="0" fillId="3" borderId="0" xfId="0" applyNumberFormat="1" applyFill="1" applyBorder="1"/>
    <xf numFmtId="0" fontId="0" fillId="3" borderId="0" xfId="0" applyFill="1" applyBorder="1"/>
    <xf numFmtId="4" fontId="0" fillId="0" borderId="0" xfId="0" applyNumberFormat="1" applyBorder="1"/>
    <xf numFmtId="3" fontId="0" fillId="0" borderId="1" xfId="0" applyNumberFormat="1" applyFill="1" applyBorder="1"/>
    <xf numFmtId="3" fontId="0" fillId="0" borderId="7" xfId="0" applyNumberFormat="1" applyBorder="1"/>
    <xf numFmtId="3" fontId="0" fillId="0" borderId="2" xfId="0" applyNumberFormat="1" applyBorder="1"/>
    <xf numFmtId="3" fontId="0" fillId="0" borderId="16" xfId="0" applyNumberFormat="1" applyBorder="1"/>
    <xf numFmtId="3" fontId="1" fillId="0" borderId="3" xfId="0" applyNumberFormat="1" applyFont="1" applyBorder="1"/>
    <xf numFmtId="3" fontId="1" fillId="0" borderId="11" xfId="0" applyNumberFormat="1" applyFont="1" applyBorder="1"/>
    <xf numFmtId="3" fontId="1" fillId="0" borderId="17" xfId="0" applyNumberFormat="1" applyFont="1" applyBorder="1"/>
    <xf numFmtId="0" fontId="0" fillId="0" borderId="19" xfId="0" applyBorder="1"/>
    <xf numFmtId="0" fontId="0" fillId="0" borderId="4" xfId="0" applyBorder="1"/>
    <xf numFmtId="3" fontId="0" fillId="0" borderId="4" xfId="0" applyNumberFormat="1" applyBorder="1"/>
    <xf numFmtId="0" fontId="0" fillId="0" borderId="4" xfId="0" applyFill="1" applyBorder="1"/>
    <xf numFmtId="3" fontId="0" fillId="0" borderId="20" xfId="0" applyNumberFormat="1" applyFill="1" applyBorder="1"/>
    <xf numFmtId="3" fontId="0" fillId="0" borderId="3" xfId="0" applyNumberFormat="1" applyFill="1" applyBorder="1"/>
    <xf numFmtId="3" fontId="0" fillId="0" borderId="11" xfId="0" applyNumberFormat="1" applyBorder="1"/>
    <xf numFmtId="3" fontId="0" fillId="5" borderId="12" xfId="0" applyNumberFormat="1" applyFill="1" applyBorder="1"/>
    <xf numFmtId="0" fontId="0" fillId="5" borderId="12" xfId="0" applyFill="1" applyBorder="1"/>
    <xf numFmtId="164" fontId="0" fillId="5" borderId="12" xfId="0" applyNumberFormat="1" applyFill="1" applyBorder="1"/>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7" borderId="1" xfId="0" applyFill="1" applyBorder="1"/>
    <xf numFmtId="0" fontId="0" fillId="3" borderId="1" xfId="0" applyFill="1" applyBorder="1"/>
    <xf numFmtId="166" fontId="0" fillId="3" borderId="1" xfId="0" applyNumberFormat="1" applyFill="1" applyBorder="1"/>
    <xf numFmtId="164" fontId="0" fillId="3" borderId="1" xfId="0" applyNumberFormat="1" applyFill="1" applyBorder="1"/>
    <xf numFmtId="0" fontId="0" fillId="6" borderId="1" xfId="0" applyFill="1" applyBorder="1"/>
    <xf numFmtId="0" fontId="0" fillId="0" borderId="1" xfId="0" applyBorder="1" applyAlignment="1">
      <alignment horizontal="right"/>
    </xf>
    <xf numFmtId="0" fontId="0" fillId="3" borderId="10" xfId="0" applyFill="1" applyBorder="1"/>
    <xf numFmtId="0" fontId="0" fillId="6" borderId="9" xfId="0" applyFill="1" applyBorder="1" applyAlignment="1">
      <alignment horizontal="center" vertical="center" wrapText="1"/>
    </xf>
    <xf numFmtId="3" fontId="0" fillId="0" borderId="9" xfId="0" applyNumberFormat="1" applyBorder="1"/>
    <xf numFmtId="0" fontId="0" fillId="0" borderId="8" xfId="0" applyBorder="1"/>
    <xf numFmtId="0" fontId="0" fillId="6" borderId="22" xfId="0" applyFill="1" applyBorder="1" applyAlignment="1">
      <alignment horizontal="center" vertical="center" wrapText="1"/>
    </xf>
    <xf numFmtId="0" fontId="0" fillId="2" borderId="1" xfId="0" applyFill="1" applyBorder="1" applyAlignment="1">
      <alignment horizontal="right"/>
    </xf>
    <xf numFmtId="3" fontId="0" fillId="2" borderId="8" xfId="0" applyNumberFormat="1" applyFill="1" applyBorder="1"/>
    <xf numFmtId="0" fontId="0" fillId="2" borderId="7" xfId="0" applyFill="1" applyBorder="1"/>
    <xf numFmtId="0" fontId="0" fillId="2" borderId="10" xfId="0" applyFill="1" applyBorder="1"/>
    <xf numFmtId="3" fontId="0" fillId="2" borderId="9" xfId="0" applyNumberFormat="1" applyFill="1" applyBorder="1"/>
    <xf numFmtId="16" fontId="0" fillId="2" borderId="1" xfId="0" applyNumberFormat="1" applyFill="1" applyBorder="1" applyAlignment="1">
      <alignment horizontal="right"/>
    </xf>
    <xf numFmtId="0" fontId="4" fillId="0" borderId="0" xfId="0" applyFont="1"/>
    <xf numFmtId="0" fontId="0" fillId="5" borderId="0" xfId="0" applyFill="1" applyAlignment="1">
      <alignment horizontal="right"/>
    </xf>
    <xf numFmtId="0" fontId="0" fillId="5" borderId="0" xfId="0" applyFill="1"/>
    <xf numFmtId="3" fontId="0" fillId="5" borderId="0" xfId="0" applyNumberFormat="1" applyFill="1"/>
    <xf numFmtId="0" fontId="5" fillId="0" borderId="1" xfId="0" applyFont="1" applyBorder="1" applyAlignment="1">
      <alignment horizontal="right"/>
    </xf>
    <xf numFmtId="3" fontId="0" fillId="0" borderId="24" xfId="0" applyNumberFormat="1" applyBorder="1"/>
    <xf numFmtId="0" fontId="0" fillId="5" borderId="1" xfId="0" applyFill="1" applyBorder="1"/>
    <xf numFmtId="0" fontId="0" fillId="5" borderId="7" xfId="0" applyFill="1" applyBorder="1"/>
    <xf numFmtId="0" fontId="0" fillId="5" borderId="10" xfId="0" applyFill="1" applyBorder="1"/>
    <xf numFmtId="0" fontId="0" fillId="5" borderId="1" xfId="0" applyFill="1" applyBorder="1" applyAlignment="1">
      <alignment horizontal="right"/>
    </xf>
    <xf numFmtId="3" fontId="0" fillId="5" borderId="8" xfId="0" applyNumberFormat="1" applyFill="1" applyBorder="1"/>
    <xf numFmtId="3" fontId="0" fillId="5" borderId="9" xfId="0" applyNumberFormat="1" applyFill="1" applyBorder="1"/>
    <xf numFmtId="0" fontId="0" fillId="5" borderId="22" xfId="0" applyFill="1" applyBorder="1"/>
    <xf numFmtId="3" fontId="0" fillId="5" borderId="1" xfId="0" applyNumberFormat="1" applyFill="1" applyBorder="1"/>
    <xf numFmtId="0" fontId="1" fillId="10" borderId="1" xfId="0" applyFont="1" applyFill="1" applyBorder="1"/>
    <xf numFmtId="0" fontId="0" fillId="2" borderId="22" xfId="0" applyFill="1" applyBorder="1"/>
    <xf numFmtId="3" fontId="0" fillId="2" borderId="1" xfId="0" applyNumberFormat="1" applyFill="1" applyBorder="1"/>
    <xf numFmtId="0" fontId="0" fillId="0" borderId="0" xfId="0" applyFill="1" applyBorder="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0" borderId="8" xfId="0" applyNumberFormat="1" applyBorder="1"/>
    <xf numFmtId="0" fontId="4" fillId="0" borderId="0" xfId="0" applyFont="1" applyFill="1" applyBorder="1" applyAlignment="1">
      <alignment horizontal="left"/>
    </xf>
    <xf numFmtId="0" fontId="0" fillId="6" borderId="1" xfId="0" applyFill="1" applyBorder="1" applyAlignment="1">
      <alignment horizontal="center" vertical="center"/>
    </xf>
    <xf numFmtId="0" fontId="0" fillId="11" borderId="1" xfId="0" applyFill="1" applyBorder="1"/>
    <xf numFmtId="3" fontId="0" fillId="7" borderId="8" xfId="0" applyNumberFormat="1" applyFill="1" applyBorder="1"/>
    <xf numFmtId="0" fontId="0" fillId="7" borderId="7" xfId="0" applyFill="1" applyBorder="1"/>
    <xf numFmtId="0" fontId="0" fillId="7" borderId="10" xfId="0" applyFill="1" applyBorder="1"/>
    <xf numFmtId="3" fontId="0" fillId="7" borderId="9" xfId="0" applyNumberFormat="1" applyFill="1" applyBorder="1"/>
    <xf numFmtId="0" fontId="0" fillId="7" borderId="22" xfId="0" applyFill="1" applyBorder="1"/>
    <xf numFmtId="3" fontId="0" fillId="7" borderId="1" xfId="0" applyNumberFormat="1" applyFill="1" applyBorder="1"/>
    <xf numFmtId="0" fontId="0" fillId="7" borderId="1" xfId="0" applyFill="1" applyBorder="1" applyAlignment="1">
      <alignment horizontal="right"/>
    </xf>
    <xf numFmtId="0" fontId="0" fillId="3" borderId="25" xfId="0" applyFill="1" applyBorder="1"/>
    <xf numFmtId="0" fontId="7" fillId="0" borderId="0" xfId="0" applyFont="1"/>
    <xf numFmtId="0" fontId="1" fillId="6" borderId="1" xfId="0" applyFont="1" applyFill="1" applyBorder="1" applyAlignment="1">
      <alignment horizontal="center"/>
    </xf>
    <xf numFmtId="3" fontId="0" fillId="6" borderId="1" xfId="0" applyNumberFormat="1" applyFill="1" applyBorder="1"/>
    <xf numFmtId="0" fontId="0" fillId="0" borderId="1" xfId="0" applyFill="1" applyBorder="1"/>
    <xf numFmtId="0" fontId="0" fillId="3" borderId="1" xfId="0" applyFont="1" applyFill="1" applyBorder="1" applyAlignment="1">
      <alignment horizontal="left"/>
    </xf>
    <xf numFmtId="0" fontId="0" fillId="6" borderId="1" xfId="0" applyFill="1" applyBorder="1" applyAlignment="1">
      <alignment horizontal="center" vertical="center" wrapText="1"/>
    </xf>
    <xf numFmtId="0" fontId="0" fillId="0" borderId="1" xfId="0" applyBorder="1" applyAlignment="1"/>
    <xf numFmtId="0" fontId="0" fillId="0" borderId="1" xfId="0" applyFill="1" applyBorder="1" applyAlignment="1"/>
    <xf numFmtId="0" fontId="0" fillId="0" borderId="26" xfId="0" applyFill="1" applyBorder="1" applyAlignment="1"/>
    <xf numFmtId="0" fontId="0" fillId="0" borderId="26" xfId="0" applyFill="1" applyBorder="1"/>
    <xf numFmtId="3" fontId="0" fillId="6" borderId="1" xfId="0" applyNumberForma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7" fillId="0" borderId="0" xfId="0" applyFont="1" applyAlignment="1">
      <alignment wrapText="1"/>
    </xf>
    <xf numFmtId="164" fontId="0" fillId="0" borderId="0" xfId="0" applyNumberFormat="1" applyBorder="1"/>
    <xf numFmtId="3" fontId="0" fillId="0" borderId="0" xfId="0" applyNumberFormat="1" applyFont="1" applyBorder="1"/>
    <xf numFmtId="3" fontId="0" fillId="0" borderId="0" xfId="0" applyNumberFormat="1" applyFont="1"/>
    <xf numFmtId="3" fontId="0" fillId="0" borderId="1" xfId="0" applyNumberFormat="1" applyFont="1" applyBorder="1"/>
    <xf numFmtId="0" fontId="0" fillId="0" borderId="24" xfId="0" applyBorder="1"/>
    <xf numFmtId="0" fontId="0" fillId="0" borderId="0" xfId="0" applyFill="1" applyBorder="1" applyAlignment="1"/>
    <xf numFmtId="9" fontId="0" fillId="0" borderId="3" xfId="0" applyNumberFormat="1" applyBorder="1"/>
    <xf numFmtId="2" fontId="0" fillId="3" borderId="1" xfId="0" applyNumberFormat="1" applyFill="1" applyBorder="1"/>
    <xf numFmtId="4" fontId="0" fillId="3" borderId="1" xfId="0" applyNumberFormat="1" applyFill="1" applyBorder="1"/>
    <xf numFmtId="0" fontId="0" fillId="6" borderId="24" xfId="0" applyFill="1" applyBorder="1" applyAlignment="1">
      <alignment horizontal="center" vertical="center" wrapText="1"/>
    </xf>
    <xf numFmtId="0" fontId="1" fillId="6" borderId="1" xfId="0" applyFont="1" applyFill="1" applyBorder="1"/>
    <xf numFmtId="3"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3" fontId="0" fillId="3" borderId="0" xfId="0" applyNumberFormat="1" applyFill="1"/>
    <xf numFmtId="0" fontId="0" fillId="3" borderId="0" xfId="0" applyFill="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3" xfId="0" applyFill="1" applyBorder="1" applyAlignment="1"/>
    <xf numFmtId="3" fontId="0" fillId="3" borderId="1" xfId="0" applyNumberFormat="1" applyFill="1" applyBorder="1" applyAlignment="1">
      <alignment wrapText="1"/>
    </xf>
    <xf numFmtId="3" fontId="0" fillId="3" borderId="1" xfId="0" applyNumberFormat="1" applyFill="1" applyBorder="1"/>
    <xf numFmtId="0" fontId="1" fillId="6" borderId="3" xfId="0" applyFont="1" applyFill="1" applyBorder="1" applyAlignment="1">
      <alignment horizontal="right"/>
    </xf>
    <xf numFmtId="0" fontId="1" fillId="6" borderId="3" xfId="0" applyFont="1" applyFill="1" applyBorder="1"/>
    <xf numFmtId="3" fontId="1" fillId="6" borderId="3" xfId="0" applyNumberFormat="1" applyFont="1" applyFill="1" applyBorder="1"/>
    <xf numFmtId="164" fontId="1" fillId="6" borderId="3" xfId="0" applyNumberFormat="1" applyFont="1" applyFill="1" applyBorder="1"/>
    <xf numFmtId="3" fontId="0" fillId="6" borderId="1" xfId="0" applyNumberFormat="1" applyFill="1" applyBorder="1" applyAlignment="1">
      <alignment horizontal="center" vertical="center"/>
    </xf>
    <xf numFmtId="0" fontId="1" fillId="6" borderId="1" xfId="0" applyFont="1" applyFill="1" applyBorder="1" applyAlignment="1">
      <alignment horizontal="right" wrapText="1"/>
    </xf>
    <xf numFmtId="164" fontId="0" fillId="0" borderId="0" xfId="0" applyNumberFormat="1"/>
    <xf numFmtId="0" fontId="0" fillId="3" borderId="1" xfId="0" applyFill="1" applyBorder="1" applyAlignment="1">
      <alignment horizontal="center" vertical="center"/>
    </xf>
    <xf numFmtId="164" fontId="0" fillId="3" borderId="1" xfId="0" applyNumberFormat="1" applyFill="1" applyBorder="1" applyAlignment="1">
      <alignment horizontal="righ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12" borderId="1" xfId="0" applyFill="1" applyBorder="1"/>
    <xf numFmtId="3" fontId="0" fillId="12" borderId="1" xfId="0" applyNumberFormat="1" applyFill="1" applyBorder="1"/>
    <xf numFmtId="164" fontId="0" fillId="12" borderId="1" xfId="0" applyNumberFormat="1" applyFill="1" applyBorder="1"/>
    <xf numFmtId="0" fontId="0" fillId="13" borderId="1" xfId="0" applyFill="1" applyBorder="1"/>
    <xf numFmtId="3" fontId="0" fillId="13" borderId="1" xfId="0" applyNumberFormat="1" applyFill="1" applyBorder="1"/>
    <xf numFmtId="164" fontId="0" fillId="13" borderId="1" xfId="0" applyNumberFormat="1" applyFill="1" applyBorder="1"/>
    <xf numFmtId="0" fontId="0" fillId="13" borderId="1" xfId="0" applyFill="1" applyBorder="1" applyAlignment="1">
      <alignment wrapText="1"/>
    </xf>
    <xf numFmtId="0" fontId="0" fillId="6" borderId="4"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4" xfId="0" applyFill="1" applyBorder="1" applyAlignment="1">
      <alignment horizontal="center" vertical="center"/>
    </xf>
    <xf numFmtId="0" fontId="6" fillId="3" borderId="1" xfId="0" applyFont="1" applyFill="1" applyBorder="1" applyAlignment="1">
      <alignment horizontal="right" wrapText="1"/>
    </xf>
    <xf numFmtId="0" fontId="6" fillId="3" borderId="1" xfId="0" applyFont="1" applyFill="1" applyBorder="1"/>
    <xf numFmtId="166" fontId="0" fillId="0" borderId="1" xfId="0" applyNumberFormat="1" applyBorder="1"/>
    <xf numFmtId="0" fontId="0" fillId="0" borderId="12" xfId="0" applyBorder="1"/>
    <xf numFmtId="166" fontId="0" fillId="0" borderId="10" xfId="0" applyNumberFormat="1" applyBorder="1"/>
    <xf numFmtId="0" fontId="0" fillId="0" borderId="20" xfId="0" applyBorder="1"/>
    <xf numFmtId="0" fontId="0" fillId="0" borderId="28" xfId="0" applyBorder="1"/>
    <xf numFmtId="0" fontId="0" fillId="6" borderId="12" xfId="0" applyFill="1" applyBorder="1"/>
    <xf numFmtId="0" fontId="0" fillId="6" borderId="10" xfId="0" applyFill="1" applyBorder="1"/>
    <xf numFmtId="0" fontId="0" fillId="0" borderId="8" xfId="0" applyBorder="1" applyAlignment="1">
      <alignment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right"/>
    </xf>
    <xf numFmtId="3" fontId="1" fillId="15" borderId="1" xfId="0" applyNumberFormat="1" applyFont="1" applyFill="1" applyBorder="1"/>
    <xf numFmtId="164" fontId="1" fillId="15" borderId="1" xfId="0" applyNumberFormat="1" applyFont="1" applyFill="1" applyBorder="1"/>
    <xf numFmtId="0" fontId="0" fillId="15" borderId="1" xfId="0" applyFill="1" applyBorder="1" applyAlignment="1">
      <alignment horizontal="center" vertical="center"/>
    </xf>
    <xf numFmtId="0" fontId="1" fillId="15" borderId="1" xfId="0" applyFont="1" applyFill="1" applyBorder="1" applyAlignment="1">
      <alignment horizontal="right" wrapText="1"/>
    </xf>
    <xf numFmtId="0" fontId="0" fillId="15" borderId="1" xfId="0" applyFill="1" applyBorder="1"/>
    <xf numFmtId="0" fontId="0" fillId="15" borderId="20" xfId="0" applyFill="1" applyBorder="1"/>
    <xf numFmtId="0" fontId="0" fillId="15" borderId="28" xfId="0" applyFill="1" applyBorder="1"/>
    <xf numFmtId="0" fontId="0" fillId="15" borderId="19" xfId="0" applyFill="1" applyBorder="1"/>
    <xf numFmtId="0" fontId="0" fillId="15" borderId="10" xfId="0" applyFill="1" applyBorder="1" applyAlignment="1">
      <alignment horizontal="center" vertical="center" wrapText="1"/>
    </xf>
    <xf numFmtId="0" fontId="0" fillId="15" borderId="8" xfId="0" applyFill="1" applyBorder="1"/>
    <xf numFmtId="0" fontId="0" fillId="15" borderId="10" xfId="0" applyFill="1" applyBorder="1"/>
    <xf numFmtId="0" fontId="0" fillId="15" borderId="8" xfId="0" applyFill="1" applyBorder="1" applyAlignment="1">
      <alignment horizontal="center" vertical="center" wrapText="1"/>
    </xf>
    <xf numFmtId="0" fontId="0" fillId="15" borderId="12" xfId="0" applyFill="1" applyBorder="1"/>
    <xf numFmtId="0" fontId="0" fillId="14" borderId="8"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1" xfId="0" applyFill="1" applyBorder="1"/>
    <xf numFmtId="0" fontId="0" fillId="14" borderId="10" xfId="0" applyFill="1" applyBorder="1" applyAlignment="1">
      <alignment horizontal="center" vertical="center" wrapText="1"/>
    </xf>
    <xf numFmtId="3" fontId="0" fillId="14" borderId="9" xfId="0" applyNumberFormat="1" applyFill="1" applyBorder="1"/>
    <xf numFmtId="0" fontId="0" fillId="14" borderId="9" xfId="0" applyFill="1" applyBorder="1"/>
    <xf numFmtId="0" fontId="0" fillId="14" borderId="0" xfId="0" applyFill="1"/>
    <xf numFmtId="0" fontId="0" fillId="6" borderId="0" xfId="0" applyFill="1"/>
    <xf numFmtId="0" fontId="0" fillId="0" borderId="0" xfId="0" applyAlignment="1">
      <alignment horizontal="right"/>
    </xf>
    <xf numFmtId="0" fontId="1" fillId="0" borderId="8" xfId="0" applyFont="1" applyBorder="1"/>
    <xf numFmtId="0" fontId="0" fillId="0" borderId="6" xfId="0" applyBorder="1"/>
    <xf numFmtId="0" fontId="1" fillId="6" borderId="8" xfId="0" applyFont="1" applyFill="1" applyBorder="1"/>
    <xf numFmtId="0" fontId="1" fillId="6" borderId="10" xfId="0" applyFont="1"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6" borderId="1" xfId="0" applyNumberFormat="1" applyFill="1" applyBorder="1"/>
    <xf numFmtId="0" fontId="0" fillId="6" borderId="1" xfId="0" applyFill="1" applyBorder="1" applyAlignment="1">
      <alignment horizontal="right"/>
    </xf>
    <xf numFmtId="0" fontId="1" fillId="8" borderId="1" xfId="0" applyFont="1"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0" fontId="0" fillId="0" borderId="1" xfId="0" applyFill="1" applyBorder="1" applyAlignment="1">
      <alignment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164" fontId="0" fillId="0" borderId="2" xfId="0" applyNumberFormat="1" applyBorder="1"/>
    <xf numFmtId="0" fontId="0" fillId="6" borderId="3" xfId="0" applyFill="1" applyBorder="1"/>
    <xf numFmtId="3" fontId="0" fillId="6" borderId="3" xfId="0" applyNumberFormat="1" applyFill="1" applyBorder="1" applyAlignment="1">
      <alignment wrapText="1"/>
    </xf>
    <xf numFmtId="164" fontId="0" fillId="6" borderId="3" xfId="0" applyNumberFormat="1" applyFill="1" applyBorder="1"/>
    <xf numFmtId="0" fontId="0" fillId="0" borderId="1" xfId="0" applyBorder="1" applyAlignment="1">
      <alignment horizontal="left" vertical="center"/>
    </xf>
    <xf numFmtId="164" fontId="0" fillId="0" borderId="1" xfId="0" applyNumberFormat="1" applyBorder="1" applyAlignment="1">
      <alignment horizontal="right"/>
    </xf>
    <xf numFmtId="164" fontId="0" fillId="0" borderId="1" xfId="0" applyNumberFormat="1" applyBorder="1" applyAlignment="1">
      <alignment horizontal="right" wrapText="1"/>
    </xf>
    <xf numFmtId="164" fontId="1" fillId="6" borderId="1" xfId="0" applyNumberFormat="1" applyFont="1" applyFill="1" applyBorder="1" applyAlignment="1">
      <alignment horizontal="right"/>
    </xf>
    <xf numFmtId="0" fontId="1" fillId="6"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6" borderId="1" xfId="0" applyFill="1" applyBorder="1" applyAlignment="1">
      <alignment horizontal="center" wrapText="1"/>
    </xf>
    <xf numFmtId="0" fontId="0" fillId="2" borderId="0" xfId="0" applyFill="1"/>
    <xf numFmtId="0" fontId="0" fillId="16" borderId="0" xfId="0" applyFill="1"/>
    <xf numFmtId="0" fontId="0" fillId="0" borderId="0" xfId="0" applyFill="1" applyBorder="1" applyAlignment="1">
      <alignment horizontal="right"/>
    </xf>
    <xf numFmtId="164" fontId="0" fillId="0" borderId="8" xfId="0" applyNumberFormat="1" applyBorder="1" applyAlignment="1"/>
    <xf numFmtId="164" fontId="1" fillId="2" borderId="8" xfId="0" applyNumberFormat="1" applyFont="1" applyFill="1" applyBorder="1" applyAlignment="1"/>
    <xf numFmtId="0" fontId="0" fillId="3" borderId="0" xfId="0" applyFill="1" applyBorder="1" applyAlignment="1">
      <alignment vertical="center"/>
    </xf>
    <xf numFmtId="0" fontId="0" fillId="3" borderId="0" xfId="0" applyFill="1" applyBorder="1" applyAlignment="1">
      <alignment vertical="center" wrapText="1"/>
    </xf>
    <xf numFmtId="3" fontId="0" fillId="3" borderId="0" xfId="0" applyNumberFormat="1" applyFill="1" applyBorder="1" applyAlignment="1"/>
    <xf numFmtId="0" fontId="1" fillId="3" borderId="0" xfId="0" applyFont="1" applyFill="1" applyBorder="1" applyAlignment="1"/>
    <xf numFmtId="3" fontId="1" fillId="2" borderId="1" xfId="0" applyNumberFormat="1" applyFont="1" applyFill="1" applyBorder="1" applyAlignment="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5" borderId="1" xfId="0" applyFill="1" applyBorder="1" applyAlignment="1">
      <alignment wrapText="1"/>
    </xf>
    <xf numFmtId="0" fontId="0" fillId="5" borderId="1" xfId="0" applyFill="1" applyBorder="1" applyAlignment="1">
      <alignment horizontal="center" wrapText="1"/>
    </xf>
    <xf numFmtId="0" fontId="1" fillId="5" borderId="1" xfId="0" applyFont="1" applyFill="1" applyBorder="1"/>
    <xf numFmtId="164" fontId="0" fillId="5" borderId="1" xfId="0" applyNumberFormat="1" applyFill="1" applyBorder="1"/>
    <xf numFmtId="166" fontId="0" fillId="5" borderId="1" xfId="0" applyNumberFormat="1" applyFill="1" applyBorder="1"/>
    <xf numFmtId="0" fontId="0" fillId="6" borderId="1" xfId="0" applyFill="1" applyBorder="1" applyAlignment="1">
      <alignment wrapText="1"/>
    </xf>
    <xf numFmtId="3" fontId="1" fillId="0" borderId="0" xfId="0" applyNumberFormat="1" applyFont="1"/>
    <xf numFmtId="0" fontId="0" fillId="6" borderId="1" xfId="0" applyFill="1" applyBorder="1" applyAlignment="1">
      <alignment horizontal="center" vertical="center" wrapText="1"/>
    </xf>
    <xf numFmtId="0" fontId="0" fillId="6" borderId="10" xfId="0" applyFill="1" applyBorder="1" applyAlignment="1">
      <alignment horizontal="center" vertical="center" wrapText="1"/>
    </xf>
    <xf numFmtId="0" fontId="0" fillId="17" borderId="1" xfId="0" applyFill="1" applyBorder="1"/>
    <xf numFmtId="0" fontId="0" fillId="17" borderId="10" xfId="0" applyFill="1" applyBorder="1"/>
    <xf numFmtId="0" fontId="0" fillId="18" borderId="1" xfId="0" applyFill="1" applyBorder="1"/>
    <xf numFmtId="0" fontId="0" fillId="18" borderId="10" xfId="0" applyFill="1" applyBorder="1"/>
    <xf numFmtId="0" fontId="0" fillId="13" borderId="10" xfId="0" applyFill="1" applyBorder="1"/>
    <xf numFmtId="0" fontId="0" fillId="12" borderId="10" xfId="0" applyFill="1" applyBorder="1"/>
    <xf numFmtId="0" fontId="0" fillId="19" borderId="1" xfId="0" applyFill="1" applyBorder="1"/>
    <xf numFmtId="0" fontId="0" fillId="20" borderId="1" xfId="0" applyFill="1" applyBorder="1"/>
    <xf numFmtId="0" fontId="0" fillId="21" borderId="10" xfId="0" applyFill="1" applyBorder="1"/>
    <xf numFmtId="0" fontId="0" fillId="22" borderId="1" xfId="0" applyFill="1" applyBorder="1"/>
    <xf numFmtId="0" fontId="0" fillId="22" borderId="10" xfId="0" applyFill="1" applyBorder="1"/>
    <xf numFmtId="0" fontId="0" fillId="6" borderId="1" xfId="0" applyFill="1" applyBorder="1" applyAlignment="1">
      <alignment horizontal="center" vertical="center" wrapText="1"/>
    </xf>
    <xf numFmtId="0" fontId="0" fillId="0" borderId="1" xfId="0" applyBorder="1" applyAlignment="1">
      <alignment horizontal="right"/>
    </xf>
    <xf numFmtId="0" fontId="0" fillId="0" borderId="3" xfId="0" applyFill="1" applyBorder="1"/>
    <xf numFmtId="164" fontId="0" fillId="0" borderId="1" xfId="0" applyNumberFormat="1" applyFill="1" applyBorder="1"/>
    <xf numFmtId="0" fontId="0" fillId="0" borderId="9" xfId="0" applyFill="1" applyBorder="1"/>
    <xf numFmtId="164" fontId="0" fillId="3" borderId="9" xfId="0" applyNumberFormat="1" applyFill="1" applyBorder="1"/>
    <xf numFmtId="3" fontId="0" fillId="3" borderId="10" xfId="0" applyNumberFormat="1" applyFill="1" applyBorder="1"/>
    <xf numFmtId="164" fontId="0" fillId="3" borderId="1" xfId="0" applyNumberFormat="1" applyFill="1" applyBorder="1" applyAlignment="1">
      <alignment horizontal="right" wrapText="1"/>
    </xf>
    <xf numFmtId="164" fontId="0" fillId="3" borderId="9" xfId="0" applyNumberFormat="1" applyFill="1" applyBorder="1" applyAlignment="1">
      <alignment wrapText="1"/>
    </xf>
    <xf numFmtId="3" fontId="0" fillId="3" borderId="10" xfId="0" applyNumberFormat="1" applyFill="1" applyBorder="1" applyAlignment="1">
      <alignment wrapText="1"/>
    </xf>
    <xf numFmtId="0" fontId="0" fillId="3" borderId="9" xfId="0" applyFill="1" applyBorder="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1" xfId="0" applyBorder="1" applyAlignment="1">
      <alignment horizontal="right"/>
    </xf>
    <xf numFmtId="164" fontId="0" fillId="0" borderId="1" xfId="0" applyNumberFormat="1" applyBorder="1" applyAlignment="1">
      <alignment wrapText="1"/>
    </xf>
    <xf numFmtId="0" fontId="0" fillId="0" borderId="1" xfId="0" applyBorder="1" applyAlignment="1">
      <alignment horizontal="left"/>
    </xf>
    <xf numFmtId="0" fontId="0" fillId="6" borderId="1" xfId="0" applyFill="1" applyBorder="1" applyAlignment="1">
      <alignment horizontal="center" vertical="center" wrapText="1"/>
    </xf>
    <xf numFmtId="0" fontId="0" fillId="9" borderId="1" xfId="0" applyFill="1" applyBorder="1"/>
    <xf numFmtId="164" fontId="0" fillId="9" borderId="1" xfId="0" applyNumberFormat="1" applyFill="1" applyBorder="1"/>
    <xf numFmtId="166" fontId="0" fillId="0" borderId="1" xfId="0" applyNumberFormat="1" applyFill="1" applyBorder="1"/>
    <xf numFmtId="3" fontId="0" fillId="3" borderId="6" xfId="0" applyNumberFormat="1" applyFill="1" applyBorder="1"/>
    <xf numFmtId="0" fontId="0" fillId="6" borderId="5" xfId="0" applyFill="1" applyBorder="1" applyAlignment="1">
      <alignment horizontal="center" vertical="center"/>
    </xf>
    <xf numFmtId="3" fontId="0" fillId="6" borderId="5" xfId="0" applyNumberFormat="1" applyFill="1" applyBorder="1" applyAlignment="1">
      <alignment horizontal="center" vertical="center" wrapText="1"/>
    </xf>
    <xf numFmtId="164" fontId="0" fillId="0" borderId="4" xfId="0" applyNumberFormat="1" applyBorder="1"/>
    <xf numFmtId="2" fontId="0" fillId="0" borderId="0" xfId="0" applyNumberFormat="1"/>
    <xf numFmtId="10" fontId="0" fillId="0" borderId="1" xfId="0" applyNumberFormat="1" applyBorder="1"/>
    <xf numFmtId="3" fontId="0" fillId="13" borderId="1" xfId="0" applyNumberFormat="1" applyFont="1" applyFill="1" applyBorder="1"/>
    <xf numFmtId="3" fontId="0" fillId="17" borderId="1" xfId="0" applyNumberFormat="1" applyFont="1" applyFill="1" applyBorder="1"/>
    <xf numFmtId="3" fontId="0" fillId="12" borderId="1" xfId="0" applyNumberFormat="1" applyFont="1" applyFill="1" applyBorder="1"/>
    <xf numFmtId="3" fontId="0" fillId="22" borderId="1" xfId="0" applyNumberFormat="1" applyFont="1" applyFill="1" applyBorder="1"/>
    <xf numFmtId="0" fontId="0" fillId="23" borderId="1" xfId="0" applyFill="1" applyBorder="1" applyAlignment="1">
      <alignment horizontal="center" vertical="center" wrapText="1"/>
    </xf>
    <xf numFmtId="0" fontId="0" fillId="23" borderId="1" xfId="0" applyFill="1" applyBorder="1" applyAlignment="1">
      <alignment horizontal="center" wrapText="1"/>
    </xf>
    <xf numFmtId="0" fontId="6" fillId="0" borderId="1" xfId="0" applyFont="1" applyBorder="1"/>
    <xf numFmtId="3" fontId="0" fillId="0" borderId="4" xfId="0" applyNumberFormat="1" applyFill="1" applyBorder="1"/>
    <xf numFmtId="3" fontId="0" fillId="9" borderId="1" xfId="0" applyNumberFormat="1" applyFill="1" applyBorder="1"/>
    <xf numFmtId="0" fontId="0" fillId="3" borderId="6" xfId="0" applyFill="1" applyBorder="1"/>
    <xf numFmtId="164" fontId="0" fillId="3" borderId="6" xfId="0" applyNumberFormat="1" applyFill="1" applyBorder="1"/>
    <xf numFmtId="0" fontId="0" fillId="3" borderId="12" xfId="0" applyFill="1" applyBorder="1"/>
    <xf numFmtId="164" fontId="0" fillId="3" borderId="12" xfId="0" applyNumberFormat="1" applyFill="1" applyBorder="1"/>
    <xf numFmtId="3" fontId="0" fillId="3" borderId="12" xfId="0" applyNumberFormat="1" applyFill="1" applyBorder="1"/>
    <xf numFmtId="164" fontId="0" fillId="3" borderId="10" xfId="0" applyNumberFormat="1" applyFill="1" applyBorder="1"/>
    <xf numFmtId="0" fontId="1" fillId="0" borderId="0" xfId="0" applyFont="1" applyAlignment="1">
      <alignment wrapText="1"/>
    </xf>
    <xf numFmtId="0" fontId="0" fillId="0" borderId="0" xfId="0" quotePrefix="1" applyAlignment="1">
      <alignment wrapText="1"/>
    </xf>
    <xf numFmtId="0" fontId="9" fillId="0" borderId="0" xfId="0" applyFont="1"/>
    <xf numFmtId="0" fontId="10" fillId="0" borderId="0" xfId="0" applyFont="1"/>
    <xf numFmtId="0" fontId="0" fillId="5" borderId="2" xfId="0" applyFill="1" applyBorder="1"/>
    <xf numFmtId="0" fontId="1" fillId="5" borderId="1" xfId="0" applyFont="1" applyFill="1" applyBorder="1" applyAlignment="1">
      <alignment horizontal="right"/>
    </xf>
    <xf numFmtId="0" fontId="0" fillId="5" borderId="9" xfId="0" applyFill="1" applyBorder="1" applyAlignment="1">
      <alignment wrapText="1"/>
    </xf>
    <xf numFmtId="0" fontId="0" fillId="5" borderId="10" xfId="0" applyFill="1" applyBorder="1" applyAlignment="1">
      <alignment wrapText="1"/>
    </xf>
    <xf numFmtId="0" fontId="0" fillId="6" borderId="1" xfId="0" applyFill="1" applyBorder="1" applyAlignment="1">
      <alignment horizontal="center" vertical="center"/>
    </xf>
    <xf numFmtId="0" fontId="0" fillId="0" borderId="1" xfId="0" applyBorder="1" applyAlignment="1">
      <alignment horizontal="right"/>
    </xf>
    <xf numFmtId="0" fontId="0" fillId="6" borderId="1" xfId="0" applyFill="1" applyBorder="1" applyAlignment="1">
      <alignment vertical="center" wrapText="1"/>
    </xf>
    <xf numFmtId="164" fontId="0" fillId="0" borderId="9" xfId="0" applyNumberFormat="1" applyBorder="1"/>
    <xf numFmtId="0" fontId="0" fillId="4" borderId="1" xfId="0" applyFill="1" applyBorder="1"/>
    <xf numFmtId="2" fontId="0" fillId="3" borderId="1" xfId="0" applyNumberFormat="1" applyFill="1" applyBorder="1" applyAlignment="1">
      <alignment horizontal="right"/>
    </xf>
    <xf numFmtId="16" fontId="0" fillId="3" borderId="1" xfId="0" applyNumberFormat="1" applyFill="1" applyBorder="1" applyAlignment="1">
      <alignment horizontal="right"/>
    </xf>
    <xf numFmtId="0" fontId="0" fillId="3" borderId="1" xfId="0" applyFill="1" applyBorder="1" applyAlignment="1">
      <alignment horizontal="right"/>
    </xf>
    <xf numFmtId="3" fontId="0" fillId="3" borderId="1" xfId="0" applyNumberFormat="1" applyFill="1" applyBorder="1" applyAlignment="1"/>
    <xf numFmtId="0" fontId="0" fillId="5" borderId="1" xfId="0" applyFill="1" applyBorder="1" applyAlignment="1">
      <alignment horizontal="center"/>
    </xf>
    <xf numFmtId="0" fontId="0" fillId="0" borderId="6" xfId="0" applyBorder="1" applyAlignment="1">
      <alignment horizontal="left" wrapText="1"/>
    </xf>
    <xf numFmtId="167" fontId="0" fillId="3" borderId="1" xfId="0" applyNumberFormat="1" applyFill="1" applyBorder="1"/>
    <xf numFmtId="167" fontId="1" fillId="2" borderId="1" xfId="0" applyNumberFormat="1" applyFont="1" applyFill="1" applyBorder="1"/>
    <xf numFmtId="0" fontId="1" fillId="7" borderId="1" xfId="0" applyFont="1" applyFill="1" applyBorder="1"/>
    <xf numFmtId="0" fontId="0" fillId="5" borderId="1" xfId="0" applyFill="1" applyBorder="1" applyAlignment="1">
      <alignment vertical="center"/>
    </xf>
    <xf numFmtId="0" fontId="1" fillId="0" borderId="1" xfId="0" applyFont="1" applyBorder="1"/>
    <xf numFmtId="3" fontId="0" fillId="3" borderId="3" xfId="0" applyNumberFormat="1" applyFill="1" applyBorder="1"/>
    <xf numFmtId="3" fontId="0" fillId="3" borderId="26" xfId="0" applyNumberFormat="1" applyFill="1" applyBorder="1"/>
    <xf numFmtId="0" fontId="0" fillId="14" borderId="1" xfId="0" applyFill="1" applyBorder="1" applyAlignment="1">
      <alignment horizontal="center" vertical="center" wrapText="1"/>
    </xf>
    <xf numFmtId="0" fontId="3" fillId="3" borderId="1" xfId="0" applyFont="1" applyFill="1" applyBorder="1"/>
    <xf numFmtId="3" fontId="3" fillId="3" borderId="1" xfId="0" applyNumberFormat="1" applyFont="1" applyFill="1" applyBorder="1" applyAlignment="1">
      <alignment wrapText="1"/>
    </xf>
    <xf numFmtId="0" fontId="3" fillId="3" borderId="6" xfId="0" applyFont="1" applyFill="1" applyBorder="1"/>
    <xf numFmtId="0" fontId="3" fillId="3" borderId="1" xfId="0" applyFont="1" applyFill="1" applyBorder="1" applyAlignment="1">
      <alignment wrapText="1"/>
    </xf>
    <xf numFmtId="3" fontId="3" fillId="3" borderId="1" xfId="0" applyNumberFormat="1" applyFont="1" applyFill="1" applyBorder="1" applyAlignment="1">
      <alignment horizontal="left" vertical="center"/>
    </xf>
    <xf numFmtId="3" fontId="3" fillId="3" borderId="6" xfId="0" applyNumberFormat="1" applyFont="1" applyFill="1" applyBorder="1" applyAlignment="1">
      <alignment wrapText="1"/>
    </xf>
    <xf numFmtId="0" fontId="0" fillId="14" borderId="1" xfId="0" applyFill="1" applyBorder="1" applyAlignment="1">
      <alignment horizontal="center" vertical="center" wrapText="1"/>
    </xf>
    <xf numFmtId="0" fontId="0" fillId="14" borderId="10" xfId="0" applyFill="1" applyBorder="1" applyAlignment="1">
      <alignment horizontal="center" vertical="center"/>
    </xf>
    <xf numFmtId="0" fontId="0" fillId="14" borderId="1" xfId="0" applyFill="1" applyBorder="1" applyAlignment="1">
      <alignment horizontal="center" vertical="center" wrapText="1"/>
    </xf>
    <xf numFmtId="0" fontId="0" fillId="14" borderId="8" xfId="0" applyFill="1" applyBorder="1" applyAlignment="1">
      <alignment horizontal="center" vertical="center" wrapText="1"/>
    </xf>
    <xf numFmtId="0" fontId="0" fillId="14" borderId="1" xfId="0" applyFill="1" applyBorder="1" applyAlignment="1">
      <alignment horizontal="center" vertical="center"/>
    </xf>
    <xf numFmtId="3" fontId="10" fillId="3" borderId="1" xfId="0" applyNumberFormat="1" applyFont="1" applyFill="1" applyBorder="1"/>
    <xf numFmtId="3" fontId="10" fillId="3" borderId="8" xfId="0" applyNumberFormat="1" applyFont="1" applyFill="1" applyBorder="1"/>
    <xf numFmtId="0" fontId="10" fillId="3" borderId="1" xfId="0" applyFont="1" applyFill="1" applyBorder="1"/>
    <xf numFmtId="3" fontId="10" fillId="3" borderId="2" xfId="0" applyNumberFormat="1" applyFont="1" applyFill="1" applyBorder="1"/>
    <xf numFmtId="3" fontId="10" fillId="3" borderId="13" xfId="0" applyNumberFormat="1" applyFont="1" applyFill="1" applyBorder="1"/>
    <xf numFmtId="3" fontId="1" fillId="3" borderId="3" xfId="0" applyNumberFormat="1" applyFont="1" applyFill="1" applyBorder="1"/>
    <xf numFmtId="3" fontId="0" fillId="24" borderId="1" xfId="0" applyNumberFormat="1" applyFill="1" applyBorder="1"/>
    <xf numFmtId="165" fontId="0" fillId="3" borderId="1" xfId="0" applyNumberFormat="1" applyFill="1" applyBorder="1"/>
    <xf numFmtId="0" fontId="0" fillId="24" borderId="1" xfId="0" applyFill="1" applyBorder="1"/>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2" borderId="1" xfId="0" applyNumberFormat="1" applyFill="1" applyBorder="1" applyAlignment="1">
      <alignment horizontal="right"/>
    </xf>
    <xf numFmtId="0" fontId="0" fillId="0" borderId="4" xfId="0" applyFill="1" applyBorder="1" applyAlignment="1">
      <alignment wrapText="1"/>
    </xf>
    <xf numFmtId="164" fontId="0" fillId="0" borderId="28" xfId="0" applyNumberFormat="1" applyFill="1" applyBorder="1"/>
    <xf numFmtId="3" fontId="0" fillId="3" borderId="2" xfId="0" applyNumberFormat="1" applyFill="1" applyBorder="1" applyAlignment="1">
      <alignment wrapText="1"/>
    </xf>
    <xf numFmtId="0" fontId="0" fillId="3" borderId="1" xfId="0" applyFill="1" applyBorder="1" applyAlignment="1">
      <alignment horizontal="right" wrapText="1"/>
    </xf>
    <xf numFmtId="3" fontId="0" fillId="3" borderId="1" xfId="0" applyNumberFormat="1" applyFill="1" applyBorder="1" applyAlignment="1">
      <alignment horizontal="right"/>
    </xf>
    <xf numFmtId="3" fontId="0" fillId="3" borderId="1" xfId="0" applyNumberFormat="1" applyFill="1" applyBorder="1" applyAlignment="1">
      <alignment horizontal="right" wrapText="1"/>
    </xf>
    <xf numFmtId="10" fontId="0" fillId="6" borderId="1" xfId="0" applyNumberFormat="1" applyFill="1" applyBorder="1"/>
    <xf numFmtId="3" fontId="0" fillId="3" borderId="1" xfId="0" applyNumberFormat="1" applyFill="1" applyBorder="1" applyAlignment="1">
      <alignment horizontal="center" wrapText="1"/>
    </xf>
    <xf numFmtId="164" fontId="0" fillId="6" borderId="1" xfId="0" applyNumberFormat="1" applyFill="1" applyBorder="1" applyAlignment="1">
      <alignment wrapText="1"/>
    </xf>
    <xf numFmtId="0" fontId="0" fillId="2" borderId="1" xfId="0" applyFill="1" applyBorder="1" applyAlignment="1">
      <alignment horizontal="center" wrapText="1"/>
    </xf>
    <xf numFmtId="0" fontId="1" fillId="3" borderId="0" xfId="0" applyFont="1" applyFill="1"/>
    <xf numFmtId="1" fontId="0" fillId="3" borderId="1" xfId="0" applyNumberFormat="1" applyFill="1" applyBorder="1" applyAlignment="1">
      <alignment horizontal="right"/>
    </xf>
    <xf numFmtId="0" fontId="0" fillId="9" borderId="1" xfId="0" applyFill="1" applyBorder="1" applyAlignment="1">
      <alignment horizontal="right"/>
    </xf>
    <xf numFmtId="0" fontId="0" fillId="3" borderId="4" xfId="0" applyFill="1" applyBorder="1" applyAlignment="1"/>
    <xf numFmtId="0" fontId="0" fillId="0" borderId="3" xfId="0" applyBorder="1" applyAlignment="1">
      <alignment horizontal="left"/>
    </xf>
    <xf numFmtId="0" fontId="0" fillId="0" borderId="4" xfId="0" applyBorder="1" applyAlignment="1"/>
    <xf numFmtId="0" fontId="0" fillId="0" borderId="5" xfId="0" applyBorder="1"/>
    <xf numFmtId="0" fontId="0" fillId="0" borderId="30" xfId="0" applyFill="1" applyBorder="1" applyAlignment="1"/>
    <xf numFmtId="0" fontId="0" fillId="0" borderId="32" xfId="0" applyBorder="1" applyAlignment="1">
      <alignment horizontal="left"/>
    </xf>
    <xf numFmtId="0" fontId="0" fillId="0" borderId="32" xfId="0" applyFill="1" applyBorder="1"/>
    <xf numFmtId="0" fontId="0" fillId="0" borderId="32" xfId="0" applyFill="1" applyBorder="1" applyAlignment="1"/>
    <xf numFmtId="3" fontId="0" fillId="3" borderId="32" xfId="0" applyNumberFormat="1" applyFill="1" applyBorder="1"/>
    <xf numFmtId="0" fontId="0" fillId="0" borderId="26" xfId="0" applyBorder="1"/>
    <xf numFmtId="0" fontId="0" fillId="0" borderId="0" xfId="0" applyAlignment="1">
      <alignment wrapText="1"/>
    </xf>
    <xf numFmtId="0" fontId="0" fillId="25" borderId="22" xfId="0" applyFill="1" applyBorder="1"/>
    <xf numFmtId="3" fontId="0" fillId="25" borderId="19" xfId="0" applyNumberFormat="1" applyFill="1" applyBorder="1"/>
    <xf numFmtId="0" fontId="0" fillId="13" borderId="0" xfId="0" applyFill="1"/>
    <xf numFmtId="3" fontId="0" fillId="18" borderId="31" xfId="0" applyNumberFormat="1" applyFont="1" applyFill="1" applyBorder="1"/>
    <xf numFmtId="3" fontId="0" fillId="21" borderId="1" xfId="0" applyNumberFormat="1" applyFont="1" applyFill="1" applyBorder="1"/>
    <xf numFmtId="0" fontId="0" fillId="3" borderId="24" xfId="0" applyFill="1" applyBorder="1"/>
    <xf numFmtId="0" fontId="0" fillId="6" borderId="1" xfId="0" applyFill="1" applyBorder="1" applyAlignment="1">
      <alignment horizontal="center" vertical="center" wrapText="1"/>
    </xf>
    <xf numFmtId="164" fontId="0" fillId="7" borderId="1" xfId="0" applyNumberFormat="1" applyFill="1" applyBorder="1"/>
    <xf numFmtId="3" fontId="0" fillId="0" borderId="5" xfId="0" applyNumberFormat="1" applyBorder="1"/>
    <xf numFmtId="4" fontId="0" fillId="3" borderId="5" xfId="0" applyNumberFormat="1" applyFill="1" applyBorder="1"/>
    <xf numFmtId="2" fontId="0" fillId="0" borderId="6" xfId="0" applyNumberFormat="1" applyBorder="1"/>
    <xf numFmtId="4" fontId="0" fillId="0" borderId="28" xfId="0" applyNumberFormat="1" applyFill="1" applyBorder="1"/>
    <xf numFmtId="0" fontId="0" fillId="3" borderId="1" xfId="0" applyFill="1" applyBorder="1" applyAlignment="1">
      <alignment horizontal="left" vertical="center"/>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34" xfId="0" applyFill="1" applyBorder="1"/>
    <xf numFmtId="0" fontId="0" fillId="3" borderId="34" xfId="0" applyFill="1" applyBorder="1" applyAlignment="1">
      <alignment horizontal="center" wrapText="1"/>
    </xf>
    <xf numFmtId="0" fontId="0" fillId="3" borderId="34" xfId="0" applyFill="1" applyBorder="1" applyAlignment="1">
      <alignment wrapText="1"/>
    </xf>
    <xf numFmtId="3" fontId="0" fillId="3" borderId="34" xfId="0" applyNumberFormat="1" applyFill="1" applyBorder="1"/>
    <xf numFmtId="164" fontId="0" fillId="3" borderId="34" xfId="0" applyNumberFormat="1" applyFill="1" applyBorder="1"/>
    <xf numFmtId="164" fontId="0" fillId="3" borderId="34" xfId="0" applyNumberFormat="1" applyFill="1" applyBorder="1" applyAlignment="1">
      <alignment horizontal="right" wrapText="1"/>
    </xf>
    <xf numFmtId="164" fontId="0" fillId="3" borderId="34" xfId="0" applyNumberFormat="1" applyFill="1" applyBorder="1" applyAlignment="1">
      <alignment wrapText="1"/>
    </xf>
    <xf numFmtId="3" fontId="0" fillId="3" borderId="34" xfId="0" applyNumberFormat="1" applyFill="1" applyBorder="1" applyAlignment="1">
      <alignment wrapText="1"/>
    </xf>
    <xf numFmtId="165" fontId="0" fillId="0" borderId="0" xfId="0" applyNumberFormat="1" applyFill="1" applyBorder="1"/>
    <xf numFmtId="165" fontId="0" fillId="0" borderId="0" xfId="0" applyNumberFormat="1" applyBorder="1"/>
    <xf numFmtId="0" fontId="0" fillId="14" borderId="1" xfId="0" applyFill="1" applyBorder="1" applyAlignment="1">
      <alignment horizontal="center" vertical="center" wrapText="1"/>
    </xf>
    <xf numFmtId="0" fontId="0" fillId="14" borderId="8" xfId="0" applyFill="1" applyBorder="1" applyAlignment="1">
      <alignment horizontal="center" vertical="center" wrapText="1"/>
    </xf>
    <xf numFmtId="0" fontId="0" fillId="19" borderId="10" xfId="0" applyFill="1" applyBorder="1"/>
    <xf numFmtId="3" fontId="0" fillId="19" borderId="1" xfId="0" applyNumberFormat="1" applyFont="1" applyFill="1" applyBorder="1"/>
    <xf numFmtId="164" fontId="10" fillId="3" borderId="1" xfId="0" applyNumberFormat="1" applyFont="1" applyFill="1" applyBorder="1"/>
    <xf numFmtId="164" fontId="0" fillId="26" borderId="21" xfId="0" applyNumberFormat="1" applyFill="1" applyBorder="1"/>
    <xf numFmtId="164" fontId="0" fillId="26" borderId="4" xfId="0" applyNumberFormat="1" applyFill="1" applyBorder="1"/>
    <xf numFmtId="164" fontId="0" fillId="26" borderId="17" xfId="0" applyNumberFormat="1" applyFill="1" applyBorder="1"/>
    <xf numFmtId="164" fontId="0" fillId="26" borderId="3" xfId="0" applyNumberFormat="1" applyFill="1" applyBorder="1"/>
    <xf numFmtId="164" fontId="0" fillId="26" borderId="7" xfId="0" applyNumberFormat="1" applyFill="1" applyBorder="1"/>
    <xf numFmtId="164" fontId="0" fillId="26" borderId="1" xfId="0" applyNumberFormat="1" applyFill="1" applyBorder="1"/>
    <xf numFmtId="164" fontId="0" fillId="26" borderId="2" xfId="0" applyNumberFormat="1" applyFill="1" applyBorder="1"/>
    <xf numFmtId="164" fontId="1" fillId="3" borderId="3" xfId="0" applyNumberFormat="1" applyFont="1" applyFill="1" applyBorder="1"/>
    <xf numFmtId="0" fontId="0" fillId="26" borderId="1" xfId="0" applyFill="1" applyBorder="1"/>
    <xf numFmtId="164" fontId="0" fillId="26" borderId="8" xfId="0" applyNumberFormat="1" applyFill="1" applyBorder="1"/>
    <xf numFmtId="0" fontId="1"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1" xfId="0" applyBorder="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1" fillId="0" borderId="0" xfId="0" applyFont="1" applyAlignment="1">
      <alignment horizontal="left"/>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0" xfId="0" applyFont="1" applyBorder="1" applyAlignment="1">
      <alignment horizontal="center" wrapText="1"/>
    </xf>
    <xf numFmtId="0" fontId="0" fillId="5" borderId="1" xfId="0" applyFill="1" applyBorder="1" applyAlignment="1">
      <alignment horizontal="center"/>
    </xf>
    <xf numFmtId="0" fontId="1" fillId="0" borderId="0" xfId="0" applyFont="1" applyFill="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0" fillId="5" borderId="8" xfId="0" applyFill="1" applyBorder="1" applyAlignment="1">
      <alignment horizontal="center"/>
    </xf>
    <xf numFmtId="0" fontId="0" fillId="5" borderId="10" xfId="0" applyFill="1" applyBorder="1" applyAlignment="1">
      <alignment horizontal="center"/>
    </xf>
    <xf numFmtId="0" fontId="0" fillId="5" borderId="1" xfId="0" applyFill="1" applyBorder="1" applyAlignment="1">
      <alignment horizontal="center" vertical="center" wrapText="1"/>
    </xf>
    <xf numFmtId="0" fontId="0" fillId="7" borderId="1" xfId="0" applyFill="1" applyBorder="1" applyAlignment="1">
      <alignment horizontal="center"/>
    </xf>
    <xf numFmtId="3" fontId="0" fillId="0" borderId="0" xfId="0" applyNumberFormat="1" applyAlignment="1">
      <alignment horizontal="left"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9" xfId="0" applyFill="1" applyBorder="1" applyAlignment="1">
      <alignment horizontal="center" vertical="center"/>
    </xf>
    <xf numFmtId="0" fontId="0" fillId="6" borderId="23" xfId="0" applyFill="1" applyBorder="1" applyAlignment="1">
      <alignment horizontal="center" vertical="center"/>
    </xf>
    <xf numFmtId="0" fontId="0" fillId="6" borderId="12" xfId="0" applyFill="1" applyBorder="1" applyAlignment="1">
      <alignment horizontal="center" vertical="center"/>
    </xf>
    <xf numFmtId="0" fontId="0" fillId="6" borderId="8" xfId="0" applyFill="1" applyBorder="1" applyAlignment="1">
      <alignment horizontal="center" vertical="center"/>
    </xf>
    <xf numFmtId="0" fontId="9" fillId="0" borderId="0" xfId="0" applyFont="1" applyFill="1" applyBorder="1" applyAlignment="1">
      <alignment horizontal="left" wrapText="1"/>
    </xf>
    <xf numFmtId="0" fontId="9" fillId="0" borderId="0" xfId="0" applyFont="1" applyAlignment="1">
      <alignment horizontal="center" wrapText="1"/>
    </xf>
    <xf numFmtId="0" fontId="9" fillId="0" borderId="0" xfId="0" applyFont="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1" fillId="6" borderId="1" xfId="0" applyFont="1" applyFill="1" applyBorder="1" applyAlignment="1">
      <alignment horizontal="left"/>
    </xf>
    <xf numFmtId="0" fontId="0" fillId="0" borderId="1" xfId="0" applyBorder="1" applyAlignment="1">
      <alignment horizontal="left" vertical="center" wrapText="1"/>
    </xf>
    <xf numFmtId="0" fontId="0" fillId="0" borderId="29" xfId="0" applyBorder="1" applyAlignment="1">
      <alignment horizontal="left" wrapText="1"/>
    </xf>
    <xf numFmtId="0" fontId="0" fillId="0" borderId="30" xfId="0" applyBorder="1" applyAlignment="1">
      <alignment horizontal="left" wrapText="1"/>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6" xfId="0" applyFill="1" applyBorder="1" applyAlignment="1">
      <alignment horizontal="center" vertical="center"/>
    </xf>
    <xf numFmtId="3" fontId="0" fillId="6" borderId="8" xfId="0" applyNumberFormat="1" applyFill="1" applyBorder="1" applyAlignment="1">
      <alignment horizontal="center" vertical="center"/>
    </xf>
    <xf numFmtId="3" fontId="0" fillId="6" borderId="12" xfId="0" applyNumberFormat="1" applyFill="1" applyBorder="1" applyAlignment="1">
      <alignment horizontal="center" vertical="center"/>
    </xf>
    <xf numFmtId="3" fontId="0" fillId="6" borderId="10" xfId="0" applyNumberFormat="1" applyFill="1" applyBorder="1" applyAlignment="1">
      <alignment horizontal="center" vertical="center"/>
    </xf>
    <xf numFmtId="0" fontId="9" fillId="0" borderId="0" xfId="0" applyFont="1" applyFill="1" applyBorder="1" applyAlignment="1">
      <alignment horizontal="center" wrapText="1"/>
    </xf>
    <xf numFmtId="3" fontId="0" fillId="6" borderId="1" xfId="0" applyNumberFormat="1" applyFill="1" applyBorder="1" applyAlignment="1">
      <alignment horizontal="center" vertical="center"/>
    </xf>
    <xf numFmtId="0" fontId="1" fillId="6" borderId="3" xfId="0" applyFont="1" applyFill="1" applyBorder="1" applyAlignment="1">
      <alignment horizontal="center"/>
    </xf>
    <xf numFmtId="0" fontId="0" fillId="0" borderId="4" xfId="0" applyBorder="1" applyAlignment="1">
      <alignment horizontal="left" wrapText="1"/>
    </xf>
    <xf numFmtId="0" fontId="0" fillId="0" borderId="6" xfId="0" applyBorder="1" applyAlignment="1">
      <alignment horizontal="left" wrapText="1"/>
    </xf>
    <xf numFmtId="0" fontId="0" fillId="0" borderId="27" xfId="0" applyFill="1" applyBorder="1" applyAlignment="1">
      <alignment horizontal="right"/>
    </xf>
    <xf numFmtId="0" fontId="0" fillId="0" borderId="33" xfId="0" applyFill="1" applyBorder="1" applyAlignment="1">
      <alignment horizontal="right"/>
    </xf>
    <xf numFmtId="0" fontId="0" fillId="3" borderId="4" xfId="0" applyFill="1" applyBorder="1" applyAlignment="1">
      <alignment horizontal="left" vertical="center"/>
    </xf>
    <xf numFmtId="0" fontId="0" fillId="3" borderId="3" xfId="0" applyFill="1" applyBorder="1" applyAlignment="1">
      <alignment horizontal="left" vertical="center"/>
    </xf>
    <xf numFmtId="0" fontId="0" fillId="3" borderId="6" xfId="0" applyFill="1" applyBorder="1" applyAlignment="1">
      <alignment horizontal="left" vertical="center"/>
    </xf>
    <xf numFmtId="0" fontId="0" fillId="3" borderId="30" xfId="0" applyFill="1" applyBorder="1" applyAlignment="1">
      <alignment horizontal="left" vertical="center"/>
    </xf>
    <xf numFmtId="0" fontId="0" fillId="0" borderId="0" xfId="0" applyAlignment="1">
      <alignment wrapText="1"/>
    </xf>
    <xf numFmtId="0" fontId="0" fillId="0" borderId="3" xfId="0" applyBorder="1" applyAlignment="1">
      <alignment horizontal="left"/>
    </xf>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0" borderId="3" xfId="0" applyBorder="1" applyAlignment="1">
      <alignment horizontal="right"/>
    </xf>
    <xf numFmtId="0" fontId="0" fillId="14" borderId="8" xfId="0" applyFill="1" applyBorder="1" applyAlignment="1">
      <alignment horizontal="center" vertical="center"/>
    </xf>
    <xf numFmtId="0" fontId="0" fillId="0" borderId="1" xfId="0" applyBorder="1" applyAlignment="1">
      <alignment horizontal="right"/>
    </xf>
    <xf numFmtId="0" fontId="0" fillId="0" borderId="1" xfId="0" applyFill="1" applyBorder="1" applyAlignment="1">
      <alignment horizontal="right"/>
    </xf>
    <xf numFmtId="0" fontId="0" fillId="14" borderId="4"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1" xfId="0" applyFill="1" applyBorder="1" applyAlignment="1">
      <alignment horizontal="center"/>
    </xf>
    <xf numFmtId="0" fontId="1" fillId="0" borderId="4" xfId="0" applyFont="1" applyBorder="1" applyAlignment="1">
      <alignment horizontal="right"/>
    </xf>
    <xf numFmtId="0" fontId="0" fillId="5" borderId="12" xfId="0" applyFill="1" applyBorder="1" applyAlignment="1">
      <alignment horizontal="center"/>
    </xf>
    <xf numFmtId="0" fontId="10" fillId="3" borderId="8" xfId="0" applyFont="1" applyFill="1" applyBorder="1" applyAlignment="1">
      <alignment horizontal="center"/>
    </xf>
    <xf numFmtId="0" fontId="10" fillId="3" borderId="12" xfId="0" applyFont="1" applyFill="1" applyBorder="1" applyAlignment="1">
      <alignment horizontal="center"/>
    </xf>
    <xf numFmtId="0" fontId="10" fillId="3" borderId="10" xfId="0" applyFont="1" applyFill="1" applyBorder="1" applyAlignment="1">
      <alignment horizontal="center"/>
    </xf>
    <xf numFmtId="0" fontId="0" fillId="14" borderId="18" xfId="0" applyFill="1" applyBorder="1" applyAlignment="1">
      <alignment horizontal="center" vertical="center"/>
    </xf>
    <xf numFmtId="0" fontId="0" fillId="14" borderId="12" xfId="0" applyFill="1" applyBorder="1" applyAlignment="1">
      <alignment horizontal="center" vertical="center"/>
    </xf>
    <xf numFmtId="0" fontId="0" fillId="14" borderId="10" xfId="0" applyFill="1" applyBorder="1" applyAlignment="1">
      <alignment horizontal="center" vertical="center"/>
    </xf>
    <xf numFmtId="0" fontId="0" fillId="14" borderId="8" xfId="0" applyFill="1" applyBorder="1" applyAlignment="1">
      <alignment horizontal="center" vertical="center" wrapText="1"/>
    </xf>
    <xf numFmtId="0" fontId="0" fillId="14" borderId="7" xfId="0" applyFill="1" applyBorder="1" applyAlignment="1">
      <alignment horizontal="center" vertical="center"/>
    </xf>
    <xf numFmtId="0" fontId="0" fillId="14" borderId="18" xfId="0" applyFill="1" applyBorder="1" applyAlignment="1">
      <alignment horizontal="center" wrapText="1"/>
    </xf>
    <xf numFmtId="0" fontId="0" fillId="14" borderId="12" xfId="0" applyFill="1" applyBorder="1" applyAlignment="1">
      <alignment horizontal="center" wrapText="1"/>
    </xf>
    <xf numFmtId="0" fontId="0" fillId="14" borderId="10" xfId="0" applyFill="1" applyBorder="1" applyAlignment="1">
      <alignment horizontal="center" wrapText="1"/>
    </xf>
    <xf numFmtId="0" fontId="1" fillId="0" borderId="3" xfId="0" applyFont="1" applyBorder="1" applyAlignment="1">
      <alignment horizontal="right"/>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 xfId="0" applyFont="1" applyFill="1" applyBorder="1" applyAlignment="1">
      <alignment horizontal="center"/>
    </xf>
    <xf numFmtId="0" fontId="1" fillId="0" borderId="0" xfId="0" applyFont="1" applyAlignment="1">
      <alignment horizontal="center"/>
    </xf>
    <xf numFmtId="0" fontId="0" fillId="3" borderId="1" xfId="0" applyFill="1" applyBorder="1" applyAlignment="1">
      <alignment horizontal="left" wrapText="1"/>
    </xf>
    <xf numFmtId="0" fontId="0" fillId="3" borderId="1" xfId="0" applyFill="1" applyBorder="1" applyAlignment="1">
      <alignment wrapText="1"/>
    </xf>
    <xf numFmtId="0" fontId="0" fillId="3" borderId="8" xfId="0" applyFill="1" applyBorder="1" applyAlignment="1">
      <alignment horizontal="left" wrapText="1"/>
    </xf>
    <xf numFmtId="0" fontId="0" fillId="3" borderId="12" xfId="0" applyFill="1" applyBorder="1" applyAlignment="1">
      <alignment horizontal="left" wrapText="1"/>
    </xf>
    <xf numFmtId="0" fontId="0" fillId="3" borderId="10" xfId="0" applyFill="1" applyBorder="1" applyAlignment="1">
      <alignment horizontal="left" wrapText="1"/>
    </xf>
  </cellXfs>
  <cellStyles count="2">
    <cellStyle name="Normal" xfId="0" builtinId="0"/>
    <cellStyle name="Normal 2" xfId="1" xr:uid="{00000000-0005-0000-0000-00000100000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1A069"/>
      <color rgb="FFFF7C80"/>
      <color rgb="FFB685DB"/>
      <color rgb="FFB482DA"/>
      <color rgb="FFA162D0"/>
      <color rgb="FFCB5D13"/>
      <color rgb="FF94440E"/>
      <color rgb="FFEC7C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II_Dinamika_sps_skaits_kopā_sum!$A$17</c:f>
              <c:strCache>
                <c:ptCount val="1"/>
                <c:pt idx="0">
                  <c:v>Kopā sabiedrisko pakalpojumu sniedzēji (skaits)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II_Dinamika_sps_skaits_kopā_sum!$B$16:$I$16</c:f>
              <c:strCache>
                <c:ptCount val="8"/>
                <c:pt idx="0">
                  <c:v>2010.gads</c:v>
                </c:pt>
                <c:pt idx="1">
                  <c:v>2011.gads</c:v>
                </c:pt>
                <c:pt idx="2">
                  <c:v>2012.gads</c:v>
                </c:pt>
                <c:pt idx="3">
                  <c:v>2013.gads</c:v>
                </c:pt>
                <c:pt idx="4">
                  <c:v>2014.gads</c:v>
                </c:pt>
                <c:pt idx="5">
                  <c:v>2015.gads</c:v>
                </c:pt>
                <c:pt idx="6">
                  <c:v>2016.gads</c:v>
                </c:pt>
                <c:pt idx="7">
                  <c:v>2017.gads</c:v>
                </c:pt>
              </c:strCache>
            </c:strRef>
          </c:cat>
          <c:val>
            <c:numRef>
              <c:f>II_Dinamika_sps_skaits_kopā_sum!$B$17:$I$17</c:f>
              <c:numCache>
                <c:formatCode>General</c:formatCode>
                <c:ptCount val="8"/>
                <c:pt idx="0">
                  <c:v>247</c:v>
                </c:pt>
                <c:pt idx="1">
                  <c:v>228</c:v>
                </c:pt>
                <c:pt idx="2">
                  <c:v>240</c:v>
                </c:pt>
                <c:pt idx="3">
                  <c:v>238</c:v>
                </c:pt>
                <c:pt idx="4">
                  <c:v>221</c:v>
                </c:pt>
                <c:pt idx="5">
                  <c:v>235</c:v>
                </c:pt>
                <c:pt idx="6">
                  <c:v>228</c:v>
                </c:pt>
                <c:pt idx="7">
                  <c:v>230</c:v>
                </c:pt>
              </c:numCache>
            </c:numRef>
          </c:val>
          <c:extLst>
            <c:ext xmlns:c16="http://schemas.microsoft.com/office/drawing/2014/chart" uri="{C3380CC4-5D6E-409C-BE32-E72D297353CC}">
              <c16:uniqueId val="{00000000-6315-4F88-9772-FB92EE9A7687}"/>
            </c:ext>
          </c:extLst>
        </c:ser>
        <c:dLbls>
          <c:showLegendKey val="0"/>
          <c:showVal val="0"/>
          <c:showCatName val="0"/>
          <c:showSerName val="0"/>
          <c:showPercent val="0"/>
          <c:showBubbleSize val="0"/>
        </c:dLbls>
        <c:gapWidth val="150"/>
        <c:axId val="470110760"/>
        <c:axId val="470109448"/>
      </c:barChart>
      <c:lineChart>
        <c:grouping val="standard"/>
        <c:varyColors val="0"/>
        <c:ser>
          <c:idx val="1"/>
          <c:order val="1"/>
          <c:tx>
            <c:strRef>
              <c:f>II_Dinamika_sps_skaits_kopā_sum!$A$18</c:f>
              <c:strCache>
                <c:ptCount val="1"/>
                <c:pt idx="0">
                  <c:v>Kopā noslēgto līgumu summa (milj.EUR)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trendline>
            <c:spPr>
              <a:ln w="19050" cap="rnd">
                <a:solidFill>
                  <a:schemeClr val="accent2"/>
                </a:solidFill>
                <a:prstDash val="sysDot"/>
              </a:ln>
              <a:effectLst/>
            </c:spPr>
            <c:trendlineType val="linear"/>
            <c:dispRSqr val="0"/>
            <c:dispEq val="0"/>
          </c:trendline>
          <c:cat>
            <c:strRef>
              <c:f>II_Dinamika_sps_skaits_kopā_sum!$B$16:$I$16</c:f>
              <c:strCache>
                <c:ptCount val="8"/>
                <c:pt idx="0">
                  <c:v>2010.gads</c:v>
                </c:pt>
                <c:pt idx="1">
                  <c:v>2011.gads</c:v>
                </c:pt>
                <c:pt idx="2">
                  <c:v>2012.gads</c:v>
                </c:pt>
                <c:pt idx="3">
                  <c:v>2013.gads</c:v>
                </c:pt>
                <c:pt idx="4">
                  <c:v>2014.gads</c:v>
                </c:pt>
                <c:pt idx="5">
                  <c:v>2015.gads</c:v>
                </c:pt>
                <c:pt idx="6">
                  <c:v>2016.gads</c:v>
                </c:pt>
                <c:pt idx="7">
                  <c:v>2017.gads</c:v>
                </c:pt>
              </c:strCache>
            </c:strRef>
          </c:cat>
          <c:val>
            <c:numRef>
              <c:f>II_Dinamika_sps_skaits_kopā_sum!$B$18:$I$18</c:f>
              <c:numCache>
                <c:formatCode>General</c:formatCode>
                <c:ptCount val="8"/>
                <c:pt idx="0">
                  <c:v>1337.8</c:v>
                </c:pt>
                <c:pt idx="1">
                  <c:v>867.2</c:v>
                </c:pt>
                <c:pt idx="2">
                  <c:v>1496.6</c:v>
                </c:pt>
                <c:pt idx="3">
                  <c:v>1305.0999999999999</c:v>
                </c:pt>
                <c:pt idx="4">
                  <c:v>1632.9</c:v>
                </c:pt>
                <c:pt idx="5">
                  <c:v>1296.7</c:v>
                </c:pt>
                <c:pt idx="6">
                  <c:v>1529.6</c:v>
                </c:pt>
                <c:pt idx="7">
                  <c:v>1237.5999999999999</c:v>
                </c:pt>
              </c:numCache>
            </c:numRef>
          </c:val>
          <c:smooth val="0"/>
          <c:extLst>
            <c:ext xmlns:c16="http://schemas.microsoft.com/office/drawing/2014/chart" uri="{C3380CC4-5D6E-409C-BE32-E72D297353CC}">
              <c16:uniqueId val="{00000001-6315-4F88-9772-FB92EE9A7687}"/>
            </c:ext>
          </c:extLst>
        </c:ser>
        <c:dLbls>
          <c:showLegendKey val="0"/>
          <c:showVal val="0"/>
          <c:showCatName val="0"/>
          <c:showSerName val="0"/>
          <c:showPercent val="0"/>
          <c:showBubbleSize val="0"/>
        </c:dLbls>
        <c:marker val="1"/>
        <c:smooth val="0"/>
        <c:axId val="470110760"/>
        <c:axId val="470109448"/>
      </c:lineChart>
      <c:catAx>
        <c:axId val="4701107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09448"/>
        <c:crosses val="autoZero"/>
        <c:auto val="1"/>
        <c:lblAlgn val="ctr"/>
        <c:lblOffset val="100"/>
        <c:noMultiLvlLbl val="0"/>
      </c:catAx>
      <c:valAx>
        <c:axId val="470109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10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II_Kopējā_dinamika!$B$33</c:f>
              <c:strCache>
                <c:ptCount val="1"/>
                <c:pt idx="0">
                  <c:v>Virs ES līgumcenu sliekšna līgumu summu īpatsvars (%)</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5"/>
              <c:layout>
                <c:manualLayout>
                  <c:x val="-1.7911952050968551E-2"/>
                  <c:y val="3.0379278174713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B2-4BD6-BC12-5E7F1ADCE4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II_Kopējā_dinamika!$A$34:$A$39</c:f>
              <c:numCache>
                <c:formatCode>General</c:formatCode>
                <c:ptCount val="6"/>
                <c:pt idx="0">
                  <c:v>2012</c:v>
                </c:pt>
                <c:pt idx="1">
                  <c:v>2013</c:v>
                </c:pt>
                <c:pt idx="2">
                  <c:v>2014</c:v>
                </c:pt>
                <c:pt idx="3">
                  <c:v>2015</c:v>
                </c:pt>
                <c:pt idx="4">
                  <c:v>2016</c:v>
                </c:pt>
                <c:pt idx="5">
                  <c:v>2017</c:v>
                </c:pt>
              </c:numCache>
            </c:numRef>
          </c:cat>
          <c:val>
            <c:numRef>
              <c:f>II_Kopējā_dinamika!$B$34:$B$39</c:f>
              <c:numCache>
                <c:formatCode>0.0%</c:formatCode>
                <c:ptCount val="6"/>
                <c:pt idx="0">
                  <c:v>0.54900000000000004</c:v>
                </c:pt>
                <c:pt idx="1">
                  <c:v>0.56499999999999995</c:v>
                </c:pt>
                <c:pt idx="2">
                  <c:v>0.41899999999999998</c:v>
                </c:pt>
                <c:pt idx="3">
                  <c:v>0.28299999999999997</c:v>
                </c:pt>
                <c:pt idx="4">
                  <c:v>0.42399999999999999</c:v>
                </c:pt>
                <c:pt idx="5">
                  <c:v>0.224</c:v>
                </c:pt>
              </c:numCache>
            </c:numRef>
          </c:val>
          <c:smooth val="0"/>
          <c:extLst>
            <c:ext xmlns:c16="http://schemas.microsoft.com/office/drawing/2014/chart" uri="{C3380CC4-5D6E-409C-BE32-E72D297353CC}">
              <c16:uniqueId val="{00000000-62B2-4BD6-BC12-5E7F1ADCE466}"/>
            </c:ext>
          </c:extLst>
        </c:ser>
        <c:ser>
          <c:idx val="1"/>
          <c:order val="1"/>
          <c:tx>
            <c:strRef>
              <c:f>II_Kopējā_dinamika!$C$33</c:f>
              <c:strCache>
                <c:ptCount val="1"/>
                <c:pt idx="0">
                  <c:v>Zem ES līgumcenu sliekšņa līgumu summas īpatsvars (%)</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II_Kopējā_dinamika!$A$34:$A$39</c:f>
              <c:numCache>
                <c:formatCode>General</c:formatCode>
                <c:ptCount val="6"/>
                <c:pt idx="0">
                  <c:v>2012</c:v>
                </c:pt>
                <c:pt idx="1">
                  <c:v>2013</c:v>
                </c:pt>
                <c:pt idx="2">
                  <c:v>2014</c:v>
                </c:pt>
                <c:pt idx="3">
                  <c:v>2015</c:v>
                </c:pt>
                <c:pt idx="4">
                  <c:v>2016</c:v>
                </c:pt>
                <c:pt idx="5">
                  <c:v>2017</c:v>
                </c:pt>
              </c:numCache>
            </c:numRef>
          </c:cat>
          <c:val>
            <c:numRef>
              <c:f>II_Kopējā_dinamika!$C$34:$C$39</c:f>
              <c:numCache>
                <c:formatCode>0.0%</c:formatCode>
                <c:ptCount val="6"/>
                <c:pt idx="0">
                  <c:v>0.28000000000000003</c:v>
                </c:pt>
                <c:pt idx="1">
                  <c:v>0.39700000000000002</c:v>
                </c:pt>
                <c:pt idx="2">
                  <c:v>0.41699999999999998</c:v>
                </c:pt>
                <c:pt idx="3">
                  <c:v>0.67900000000000005</c:v>
                </c:pt>
                <c:pt idx="4">
                  <c:v>0.497</c:v>
                </c:pt>
                <c:pt idx="5">
                  <c:v>0.52200000000000002</c:v>
                </c:pt>
              </c:numCache>
            </c:numRef>
          </c:val>
          <c:smooth val="0"/>
          <c:extLst>
            <c:ext xmlns:c16="http://schemas.microsoft.com/office/drawing/2014/chart" uri="{C3380CC4-5D6E-409C-BE32-E72D297353CC}">
              <c16:uniqueId val="{00000001-62B2-4BD6-BC12-5E7F1ADCE466}"/>
            </c:ext>
          </c:extLst>
        </c:ser>
        <c:ser>
          <c:idx val="2"/>
          <c:order val="2"/>
          <c:tx>
            <c:strRef>
              <c:f>II_Kopējā_dinamika!$D$33</c:f>
              <c:strCache>
                <c:ptCount val="1"/>
                <c:pt idx="0">
                  <c:v>Piemēroto izņēmumu līgumu summas īpatsvars (%)</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II_Kopējā_dinamika!$A$34:$A$39</c:f>
              <c:numCache>
                <c:formatCode>General</c:formatCode>
                <c:ptCount val="6"/>
                <c:pt idx="0">
                  <c:v>2012</c:v>
                </c:pt>
                <c:pt idx="1">
                  <c:v>2013</c:v>
                </c:pt>
                <c:pt idx="2">
                  <c:v>2014</c:v>
                </c:pt>
                <c:pt idx="3">
                  <c:v>2015</c:v>
                </c:pt>
                <c:pt idx="4">
                  <c:v>2016</c:v>
                </c:pt>
                <c:pt idx="5">
                  <c:v>2017</c:v>
                </c:pt>
              </c:numCache>
            </c:numRef>
          </c:cat>
          <c:val>
            <c:numRef>
              <c:f>II_Kopējā_dinamika!$D$34:$D$39</c:f>
              <c:numCache>
                <c:formatCode>0.0%</c:formatCode>
                <c:ptCount val="6"/>
                <c:pt idx="0">
                  <c:v>0.17100000000000001</c:v>
                </c:pt>
                <c:pt idx="1">
                  <c:v>3.7999999999999999E-2</c:v>
                </c:pt>
                <c:pt idx="2">
                  <c:v>0.16400000000000001</c:v>
                </c:pt>
                <c:pt idx="3">
                  <c:v>9.8000000000000004E-2</c:v>
                </c:pt>
                <c:pt idx="4">
                  <c:v>7.9000000000000001E-2</c:v>
                </c:pt>
                <c:pt idx="5">
                  <c:v>0.254</c:v>
                </c:pt>
              </c:numCache>
            </c:numRef>
          </c:val>
          <c:smooth val="0"/>
          <c:extLst>
            <c:ext xmlns:c16="http://schemas.microsoft.com/office/drawing/2014/chart" uri="{C3380CC4-5D6E-409C-BE32-E72D297353CC}">
              <c16:uniqueId val="{00000002-62B2-4BD6-BC12-5E7F1ADCE466}"/>
            </c:ext>
          </c:extLst>
        </c:ser>
        <c:dLbls>
          <c:dLblPos val="ctr"/>
          <c:showLegendKey val="0"/>
          <c:showVal val="1"/>
          <c:showCatName val="0"/>
          <c:showSerName val="0"/>
          <c:showPercent val="0"/>
          <c:showBubbleSize val="0"/>
        </c:dLbls>
        <c:smooth val="0"/>
        <c:axId val="550700392"/>
        <c:axId val="550693832"/>
      </c:lineChart>
      <c:catAx>
        <c:axId val="5507003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0693832"/>
        <c:crosses val="autoZero"/>
        <c:auto val="1"/>
        <c:lblAlgn val="ctr"/>
        <c:lblOffset val="100"/>
        <c:noMultiLvlLbl val="0"/>
      </c:catAx>
      <c:valAx>
        <c:axId val="550693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0700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III_Virs_ES_iep_veidi_Tab_Din!$A$4</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III_Virs_ES_iep_veidi_Tab_Din!$B$4:$C$4</c:f>
              <c:numCache>
                <c:formatCode>General</c:formatCode>
                <c:ptCount val="2"/>
                <c:pt idx="0">
                  <c:v>3</c:v>
                </c:pt>
                <c:pt idx="1">
                  <c:v>5</c:v>
                </c:pt>
              </c:numCache>
            </c:numRef>
          </c:val>
          <c:extLst>
            <c:ext xmlns:c16="http://schemas.microsoft.com/office/drawing/2014/chart" uri="{C3380CC4-5D6E-409C-BE32-E72D297353CC}">
              <c16:uniqueId val="{00000000-D9D5-4364-8DA4-A2BB8305B796}"/>
            </c:ext>
          </c:extLst>
        </c:ser>
        <c:ser>
          <c:idx val="1"/>
          <c:order val="1"/>
          <c:tx>
            <c:strRef>
              <c:f>III_Virs_ES_iep_veidi_Tab_Din!$A$5</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III_Virs_ES_iep_veidi_Tab_Din!$B$5:$C$5</c:f>
              <c:numCache>
                <c:formatCode>General</c:formatCode>
                <c:ptCount val="2"/>
                <c:pt idx="0">
                  <c:v>39</c:v>
                </c:pt>
                <c:pt idx="1">
                  <c:v>35</c:v>
                </c:pt>
              </c:numCache>
            </c:numRef>
          </c:val>
          <c:extLst>
            <c:ext xmlns:c16="http://schemas.microsoft.com/office/drawing/2014/chart" uri="{C3380CC4-5D6E-409C-BE32-E72D297353CC}">
              <c16:uniqueId val="{00000001-D9D5-4364-8DA4-A2BB8305B796}"/>
            </c:ext>
          </c:extLst>
        </c:ser>
        <c:ser>
          <c:idx val="2"/>
          <c:order val="2"/>
          <c:tx>
            <c:strRef>
              <c:f>III_Virs_ES_iep_veidi_Tab_Din!$A$6</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III_Virs_ES_iep_veidi_Tab_Din!$B$6:$C$6</c:f>
              <c:numCache>
                <c:formatCode>General</c:formatCode>
                <c:ptCount val="2"/>
                <c:pt idx="0">
                  <c:v>30</c:v>
                </c:pt>
                <c:pt idx="1">
                  <c:v>158</c:v>
                </c:pt>
              </c:numCache>
            </c:numRef>
          </c:val>
          <c:extLst>
            <c:ext xmlns:c16="http://schemas.microsoft.com/office/drawing/2014/chart" uri="{C3380CC4-5D6E-409C-BE32-E72D297353CC}">
              <c16:uniqueId val="{00000003-D9D5-4364-8DA4-A2BB8305B796}"/>
            </c:ext>
          </c:extLst>
        </c:ser>
        <c:dLbls>
          <c:showLegendKey val="0"/>
          <c:showVal val="0"/>
          <c:showCatName val="0"/>
          <c:showSerName val="0"/>
          <c:showPercent val="0"/>
          <c:showBubbleSize val="0"/>
        </c:dLbls>
        <c:gapWidth val="219"/>
        <c:axId val="391774880"/>
        <c:axId val="391782752"/>
      </c:barChart>
      <c:catAx>
        <c:axId val="391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82752"/>
        <c:crosses val="autoZero"/>
        <c:auto val="1"/>
        <c:lblAlgn val="ctr"/>
        <c:lblOffset val="100"/>
        <c:noMultiLvlLbl val="0"/>
      </c:catAx>
      <c:valAx>
        <c:axId val="39178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7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292918065776698E-2"/>
          <c:y val="9.9795899638419325E-2"/>
          <c:w val="0.83141416386844658"/>
          <c:h val="0.77243617275113341"/>
        </c:manualLayout>
      </c:layout>
      <c:pie3DChart>
        <c:varyColors val="1"/>
        <c:ser>
          <c:idx val="0"/>
          <c:order val="0"/>
          <c:tx>
            <c:strRef>
              <c:f>III_Virs_ES_iep_veidi_Tab_Din!$B$13</c:f>
              <c:strCache>
                <c:ptCount val="1"/>
                <c:pt idx="0">
                  <c:v>Noslēgto līgumu summa (EUR)</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2-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3-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4-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III_Virs_ES_iep_veidi_Tab_Din!$B$14:$B$16</c:f>
              <c:numCache>
                <c:formatCode>#,##0</c:formatCode>
                <c:ptCount val="3"/>
                <c:pt idx="0">
                  <c:v>55466584</c:v>
                </c:pt>
                <c:pt idx="1">
                  <c:v>164080757</c:v>
                </c:pt>
                <c:pt idx="2">
                  <c:v>57280078</c:v>
                </c:pt>
              </c:numCache>
            </c:numRef>
          </c:val>
          <c:extLst>
            <c:ext xmlns:c16="http://schemas.microsoft.com/office/drawing/2014/chart" uri="{C3380CC4-5D6E-409C-BE32-E72D297353CC}">
              <c16:uniqueId val="{00000000-12CB-4BCB-BC1C-5F86BB170409}"/>
            </c:ext>
          </c:extLst>
        </c:ser>
        <c:ser>
          <c:idx val="1"/>
          <c:order val="1"/>
          <c:tx>
            <c:strRef>
              <c:f>III_Virs_ES_iep_veidi_Tab_Din!$C$13</c:f>
              <c:strCache>
                <c:ptCount val="1"/>
                <c:pt idx="0">
                  <c:v>Īpatsvars, %</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5-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6-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7-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III_Virs_ES_iep_veidi_Tab_Din!$C$14:$C$16</c:f>
              <c:numCache>
                <c:formatCode>0.0%</c:formatCode>
                <c:ptCount val="3"/>
                <c:pt idx="0">
                  <c:v>0.20036521021062584</c:v>
                </c:pt>
                <c:pt idx="1">
                  <c:v>0.59271858832740842</c:v>
                </c:pt>
                <c:pt idx="2">
                  <c:v>0.20691620146196574</c:v>
                </c:pt>
              </c:numCache>
            </c:numRef>
          </c:val>
          <c:extLst>
            <c:ext xmlns:c16="http://schemas.microsoft.com/office/drawing/2014/chart" uri="{C3380CC4-5D6E-409C-BE32-E72D297353CC}">
              <c16:uniqueId val="{00000001-12CB-4BCB-BC1C-5F86BB170409}"/>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0619813994138E-2"/>
          <c:y val="3.3840947546531303E-2"/>
          <c:w val="0.88579036404923339"/>
          <c:h val="0.8068582543933277"/>
        </c:manualLayout>
      </c:layout>
      <c:barChart>
        <c:barDir val="col"/>
        <c:grouping val="clustered"/>
        <c:varyColors val="0"/>
        <c:ser>
          <c:idx val="0"/>
          <c:order val="0"/>
          <c:tx>
            <c:strRef>
              <c:f>III_Virs_ES_iep_veidi_Tab_Din!$B$27</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III_Virs_ES_iep_veidi_Tab_Din!$A$28:$A$35</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III_Virs_ES_iep_veidi_Tab_Din!$B$28:$B$35</c:f>
              <c:numCache>
                <c:formatCode>#\ ##0.0</c:formatCode>
                <c:ptCount val="8"/>
                <c:pt idx="0">
                  <c:v>210.7</c:v>
                </c:pt>
                <c:pt idx="1">
                  <c:v>83.5</c:v>
                </c:pt>
                <c:pt idx="2">
                  <c:v>316.60000000000002</c:v>
                </c:pt>
                <c:pt idx="3">
                  <c:v>130.80000000000001</c:v>
                </c:pt>
                <c:pt idx="4">
                  <c:v>207.6</c:v>
                </c:pt>
                <c:pt idx="5">
                  <c:v>28.9</c:v>
                </c:pt>
                <c:pt idx="6">
                  <c:v>124.2</c:v>
                </c:pt>
                <c:pt idx="7">
                  <c:v>55.466583999999997</c:v>
                </c:pt>
              </c:numCache>
            </c:numRef>
          </c:val>
          <c:extLst>
            <c:ext xmlns:c16="http://schemas.microsoft.com/office/drawing/2014/chart" uri="{C3380CC4-5D6E-409C-BE32-E72D297353CC}">
              <c16:uniqueId val="{00000000-08F5-4BAD-938A-229B00DC7960}"/>
            </c:ext>
          </c:extLst>
        </c:ser>
        <c:ser>
          <c:idx val="1"/>
          <c:order val="1"/>
          <c:tx>
            <c:strRef>
              <c:f>III_Virs_ES_iep_veidi_Tab_Din!$C$27</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III_Virs_ES_iep_veidi_Tab_Din!$A$28:$A$35</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III_Virs_ES_iep_veidi_Tab_Din!$C$28:$C$35</c:f>
              <c:numCache>
                <c:formatCode>#\ ##0.0</c:formatCode>
                <c:ptCount val="8"/>
                <c:pt idx="0">
                  <c:v>125</c:v>
                </c:pt>
                <c:pt idx="1">
                  <c:v>256.60000000000002</c:v>
                </c:pt>
                <c:pt idx="2">
                  <c:v>634.79999999999995</c:v>
                </c:pt>
                <c:pt idx="3">
                  <c:v>517.6</c:v>
                </c:pt>
                <c:pt idx="4">
                  <c:v>358.3</c:v>
                </c:pt>
                <c:pt idx="5">
                  <c:v>298</c:v>
                </c:pt>
                <c:pt idx="6">
                  <c:v>358.6</c:v>
                </c:pt>
                <c:pt idx="7">
                  <c:v>164.08075700000001</c:v>
                </c:pt>
              </c:numCache>
            </c:numRef>
          </c:val>
          <c:extLst>
            <c:ext xmlns:c16="http://schemas.microsoft.com/office/drawing/2014/chart" uri="{C3380CC4-5D6E-409C-BE32-E72D297353CC}">
              <c16:uniqueId val="{00000001-08F5-4BAD-938A-229B00DC7960}"/>
            </c:ext>
          </c:extLst>
        </c:ser>
        <c:ser>
          <c:idx val="2"/>
          <c:order val="2"/>
          <c:tx>
            <c:strRef>
              <c:f>III_Virs_ES_iep_veidi_Tab_Din!$D$27</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III_Virs_ES_iep_veidi_Tab_Din!$A$28:$A$35</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III_Virs_ES_iep_veidi_Tab_Din!$D$28:$D$35</c:f>
              <c:numCache>
                <c:formatCode>#\ ##0.0</c:formatCode>
                <c:ptCount val="8"/>
                <c:pt idx="0">
                  <c:v>277.39999999999998</c:v>
                </c:pt>
                <c:pt idx="1">
                  <c:v>62.4</c:v>
                </c:pt>
                <c:pt idx="2">
                  <c:v>39.799999999999997</c:v>
                </c:pt>
                <c:pt idx="3">
                  <c:v>89</c:v>
                </c:pt>
                <c:pt idx="4">
                  <c:v>118.3</c:v>
                </c:pt>
                <c:pt idx="5">
                  <c:v>40.6</c:v>
                </c:pt>
                <c:pt idx="6">
                  <c:v>165.8</c:v>
                </c:pt>
                <c:pt idx="7">
                  <c:v>57.280078000000003</c:v>
                </c:pt>
              </c:numCache>
            </c:numRef>
          </c:val>
          <c:extLst>
            <c:ext xmlns:c16="http://schemas.microsoft.com/office/drawing/2014/chart" uri="{C3380CC4-5D6E-409C-BE32-E72D297353CC}">
              <c16:uniqueId val="{00000002-08F5-4BAD-938A-229B00DC7960}"/>
            </c:ext>
          </c:extLst>
        </c:ser>
        <c:dLbls>
          <c:showLegendKey val="0"/>
          <c:showVal val="0"/>
          <c:showCatName val="0"/>
          <c:showSerName val="0"/>
          <c:showPercent val="0"/>
          <c:showBubbleSize val="0"/>
        </c:dLbls>
        <c:gapWidth val="219"/>
        <c:axId val="483683120"/>
        <c:axId val="483680168"/>
      </c:barChart>
      <c:lineChart>
        <c:grouping val="standard"/>
        <c:varyColors val="0"/>
        <c:ser>
          <c:idx val="3"/>
          <c:order val="3"/>
          <c:tx>
            <c:strRef>
              <c:f>III_Virs_ES_iep_veidi_Tab_Din!$E$27</c:f>
              <c:strCache>
                <c:ptCount val="1"/>
                <c:pt idx="0">
                  <c:v>Pavisam kopā</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4"/>
                </a:solidFill>
                <a:prstDash val="sysDot"/>
              </a:ln>
              <a:effectLst/>
            </c:spPr>
            <c:trendlineType val="linear"/>
            <c:dispRSqr val="0"/>
            <c:dispEq val="0"/>
          </c:trendline>
          <c:cat>
            <c:strRef>
              <c:f>III_Virs_ES_iep_veidi_Tab_Din!$A$28:$A$35</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III_Virs_ES_iep_veidi_Tab_Din!$E$28:$E$35</c:f>
              <c:numCache>
                <c:formatCode>#\ ##0.0</c:formatCode>
                <c:ptCount val="8"/>
                <c:pt idx="0">
                  <c:v>913.1</c:v>
                </c:pt>
                <c:pt idx="1">
                  <c:v>402.5</c:v>
                </c:pt>
                <c:pt idx="2">
                  <c:v>991.2</c:v>
                </c:pt>
                <c:pt idx="3">
                  <c:v>737.3</c:v>
                </c:pt>
                <c:pt idx="4">
                  <c:v>684.1</c:v>
                </c:pt>
                <c:pt idx="5">
                  <c:v>367.5</c:v>
                </c:pt>
                <c:pt idx="6">
                  <c:v>648.6</c:v>
                </c:pt>
                <c:pt idx="7">
                  <c:v>276.82741900000002</c:v>
                </c:pt>
              </c:numCache>
            </c:numRef>
          </c:val>
          <c:smooth val="0"/>
          <c:extLst>
            <c:ext xmlns:c16="http://schemas.microsoft.com/office/drawing/2014/chart" uri="{C3380CC4-5D6E-409C-BE32-E72D297353CC}">
              <c16:uniqueId val="{00000003-08F5-4BAD-938A-229B00DC7960}"/>
            </c:ext>
          </c:extLst>
        </c:ser>
        <c:dLbls>
          <c:showLegendKey val="0"/>
          <c:showVal val="0"/>
          <c:showCatName val="0"/>
          <c:showSerName val="0"/>
          <c:showPercent val="0"/>
          <c:showBubbleSize val="0"/>
        </c:dLbls>
        <c:marker val="1"/>
        <c:smooth val="0"/>
        <c:axId val="391755528"/>
        <c:axId val="391754872"/>
      </c:lineChart>
      <c:catAx>
        <c:axId val="48368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0168"/>
        <c:crosses val="autoZero"/>
        <c:auto val="1"/>
        <c:lblAlgn val="ctr"/>
        <c:lblOffset val="100"/>
        <c:noMultiLvlLbl val="0"/>
      </c:catAx>
      <c:valAx>
        <c:axId val="483680168"/>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3120"/>
        <c:crosses val="autoZero"/>
        <c:crossBetween val="between"/>
      </c:valAx>
      <c:valAx>
        <c:axId val="391754872"/>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55528"/>
        <c:crosses val="max"/>
        <c:crossBetween val="between"/>
      </c:valAx>
      <c:catAx>
        <c:axId val="391755528"/>
        <c:scaling>
          <c:orientation val="minMax"/>
        </c:scaling>
        <c:delete val="1"/>
        <c:axPos val="b"/>
        <c:numFmt formatCode="General" sourceLinked="1"/>
        <c:majorTickMark val="out"/>
        <c:minorTickMark val="none"/>
        <c:tickLblPos val="nextTo"/>
        <c:crossAx val="391754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III_Virs_ES_iep_veidi_Tab_Din!$A$71</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III_Virs_ES_iep_veidi_Tab_Din!$B$70:$G$70</c:f>
              <c:strCache>
                <c:ptCount val="6"/>
                <c:pt idx="0">
                  <c:v>2012.gads</c:v>
                </c:pt>
                <c:pt idx="1">
                  <c:v>2013.gads</c:v>
                </c:pt>
                <c:pt idx="2">
                  <c:v>2014.gads</c:v>
                </c:pt>
                <c:pt idx="3">
                  <c:v>2015.gads</c:v>
                </c:pt>
                <c:pt idx="4">
                  <c:v>2016.gads</c:v>
                </c:pt>
                <c:pt idx="5">
                  <c:v>2017.gads</c:v>
                </c:pt>
              </c:strCache>
            </c:strRef>
          </c:cat>
          <c:val>
            <c:numRef>
              <c:f>III_Virs_ES_iep_veidi_Tab_Din!$B$71:$G$71</c:f>
              <c:numCache>
                <c:formatCode>0.0%</c:formatCode>
                <c:ptCount val="6"/>
                <c:pt idx="0">
                  <c:v>1.2749999999999999</c:v>
                </c:pt>
                <c:pt idx="1">
                  <c:v>-0.48299999999999998</c:v>
                </c:pt>
                <c:pt idx="2">
                  <c:v>-0.20699999999999999</c:v>
                </c:pt>
                <c:pt idx="3">
                  <c:v>-0.25700000000000001</c:v>
                </c:pt>
                <c:pt idx="4">
                  <c:v>3.298</c:v>
                </c:pt>
                <c:pt idx="5" formatCode="0.00%">
                  <c:v>-0.66517069916977578</c:v>
                </c:pt>
              </c:numCache>
            </c:numRef>
          </c:val>
          <c:extLst>
            <c:ext xmlns:c16="http://schemas.microsoft.com/office/drawing/2014/chart" uri="{C3380CC4-5D6E-409C-BE32-E72D297353CC}">
              <c16:uniqueId val="{00000000-046B-41C0-ACD0-C7CDFD7852A6}"/>
            </c:ext>
          </c:extLst>
        </c:ser>
        <c:ser>
          <c:idx val="1"/>
          <c:order val="1"/>
          <c:tx>
            <c:strRef>
              <c:f>III_Virs_ES_iep_veidi_Tab_Din!$A$72</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III_Virs_ES_iep_veidi_Tab_Din!$B$70:$G$70</c:f>
              <c:strCache>
                <c:ptCount val="6"/>
                <c:pt idx="0">
                  <c:v>2012.gads</c:v>
                </c:pt>
                <c:pt idx="1">
                  <c:v>2013.gads</c:v>
                </c:pt>
                <c:pt idx="2">
                  <c:v>2014.gads</c:v>
                </c:pt>
                <c:pt idx="3">
                  <c:v>2015.gads</c:v>
                </c:pt>
                <c:pt idx="4">
                  <c:v>2016.gads</c:v>
                </c:pt>
                <c:pt idx="5">
                  <c:v>2017.gads</c:v>
                </c:pt>
              </c:strCache>
            </c:strRef>
          </c:cat>
          <c:val>
            <c:numRef>
              <c:f>III_Virs_ES_iep_veidi_Tab_Din!$B$72:$G$72</c:f>
              <c:numCache>
                <c:formatCode>0.0%</c:formatCode>
                <c:ptCount val="6"/>
                <c:pt idx="0">
                  <c:v>1.3680000000000001</c:v>
                </c:pt>
                <c:pt idx="1">
                  <c:v>-0.23899999999999999</c:v>
                </c:pt>
                <c:pt idx="2">
                  <c:v>-0.248</c:v>
                </c:pt>
                <c:pt idx="3">
                  <c:v>-0.10299999999999999</c:v>
                </c:pt>
                <c:pt idx="4">
                  <c:v>0.13300000000000001</c:v>
                </c:pt>
                <c:pt idx="5">
                  <c:v>-0.38992470579749189</c:v>
                </c:pt>
              </c:numCache>
            </c:numRef>
          </c:val>
          <c:extLst>
            <c:ext xmlns:c16="http://schemas.microsoft.com/office/drawing/2014/chart" uri="{C3380CC4-5D6E-409C-BE32-E72D297353CC}">
              <c16:uniqueId val="{00000001-046B-41C0-ACD0-C7CDFD7852A6}"/>
            </c:ext>
          </c:extLst>
        </c:ser>
        <c:ser>
          <c:idx val="2"/>
          <c:order val="2"/>
          <c:tx>
            <c:strRef>
              <c:f>III_Virs_ES_iep_veidi_Tab_Din!$A$73</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III_Virs_ES_iep_veidi_Tab_Din!$B$70:$G$70</c:f>
              <c:strCache>
                <c:ptCount val="6"/>
                <c:pt idx="0">
                  <c:v>2012.gads</c:v>
                </c:pt>
                <c:pt idx="1">
                  <c:v>2013.gads</c:v>
                </c:pt>
                <c:pt idx="2">
                  <c:v>2014.gads</c:v>
                </c:pt>
                <c:pt idx="3">
                  <c:v>2015.gads</c:v>
                </c:pt>
                <c:pt idx="4">
                  <c:v>2016.gads</c:v>
                </c:pt>
                <c:pt idx="5">
                  <c:v>2017.gads</c:v>
                </c:pt>
              </c:strCache>
            </c:strRef>
          </c:cat>
          <c:val>
            <c:numRef>
              <c:f>III_Virs_ES_iep_veidi_Tab_Din!$B$73:$G$73</c:f>
              <c:numCache>
                <c:formatCode>0.0%</c:formatCode>
                <c:ptCount val="6"/>
                <c:pt idx="0">
                  <c:v>-0.33200000000000002</c:v>
                </c:pt>
                <c:pt idx="1">
                  <c:v>0.67500000000000004</c:v>
                </c:pt>
                <c:pt idx="2">
                  <c:v>9.5000000000000001E-2</c:v>
                </c:pt>
                <c:pt idx="3">
                  <c:v>-0.55100000000000005</c:v>
                </c:pt>
                <c:pt idx="4">
                  <c:v>2.9260000000000002</c:v>
                </c:pt>
                <c:pt idx="5">
                  <c:v>-0.7334599547337699</c:v>
                </c:pt>
              </c:numCache>
            </c:numRef>
          </c:val>
          <c:extLst>
            <c:ext xmlns:c16="http://schemas.microsoft.com/office/drawing/2014/chart" uri="{C3380CC4-5D6E-409C-BE32-E72D297353CC}">
              <c16:uniqueId val="{00000002-046B-41C0-ACD0-C7CDFD7852A6}"/>
            </c:ext>
          </c:extLst>
        </c:ser>
        <c:dLbls>
          <c:showLegendKey val="0"/>
          <c:showVal val="0"/>
          <c:showCatName val="0"/>
          <c:showSerName val="0"/>
          <c:showPercent val="0"/>
          <c:showBubbleSize val="0"/>
        </c:dLbls>
        <c:gapWidth val="219"/>
        <c:axId val="388388080"/>
        <c:axId val="388389392"/>
      </c:barChart>
      <c:lineChart>
        <c:grouping val="standard"/>
        <c:varyColors val="0"/>
        <c:ser>
          <c:idx val="3"/>
          <c:order val="3"/>
          <c:tx>
            <c:strRef>
              <c:f>III_Virs_ES_iep_veidi_Tab_Din!$A$74</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0178874260995756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6B-41C0-ACD0-C7CDFD7852A6}"/>
                </c:ext>
              </c:extLst>
            </c:dLbl>
            <c:dLbl>
              <c:idx val="2"/>
              <c:layout>
                <c:manualLayout>
                  <c:x val="-5.6083446825608028E-2"/>
                  <c:y val="-0.1033131496860765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6B-41C0-ACD0-C7CDFD7852A6}"/>
                </c:ext>
              </c:extLst>
            </c:dLbl>
            <c:dLbl>
              <c:idx val="3"/>
              <c:layout>
                <c:manualLayout>
                  <c:x val="-6.4035733107914189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6B-41C0-ACD0-C7CDFD785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III_Virs_ES_iep_veidi_Tab_Din!$B$70:$G$70</c:f>
              <c:strCache>
                <c:ptCount val="6"/>
                <c:pt idx="0">
                  <c:v>2012.gads</c:v>
                </c:pt>
                <c:pt idx="1">
                  <c:v>2013.gads</c:v>
                </c:pt>
                <c:pt idx="2">
                  <c:v>2014.gads</c:v>
                </c:pt>
                <c:pt idx="3">
                  <c:v>2015.gads</c:v>
                </c:pt>
                <c:pt idx="4">
                  <c:v>2016.gads</c:v>
                </c:pt>
                <c:pt idx="5">
                  <c:v>2017.gads</c:v>
                </c:pt>
              </c:strCache>
            </c:strRef>
          </c:cat>
          <c:val>
            <c:numRef>
              <c:f>III_Virs_ES_iep_veidi_Tab_Din!$B$74:$G$74</c:f>
              <c:numCache>
                <c:formatCode>0.0%</c:formatCode>
                <c:ptCount val="6"/>
                <c:pt idx="0">
                  <c:v>1.3160000000000001</c:v>
                </c:pt>
                <c:pt idx="1">
                  <c:v>-0.32300000000000001</c:v>
                </c:pt>
                <c:pt idx="2">
                  <c:v>-0.13500000000000001</c:v>
                </c:pt>
                <c:pt idx="3">
                  <c:v>-0.313</c:v>
                </c:pt>
                <c:pt idx="4">
                  <c:v>0.67500000000000004</c:v>
                </c:pt>
                <c:pt idx="5">
                  <c:v>-0.5352727230621811</c:v>
                </c:pt>
              </c:numCache>
            </c:numRef>
          </c:val>
          <c:smooth val="0"/>
          <c:extLst>
            <c:ext xmlns:c16="http://schemas.microsoft.com/office/drawing/2014/chart" uri="{C3380CC4-5D6E-409C-BE32-E72D297353CC}">
              <c16:uniqueId val="{00000003-046B-41C0-ACD0-C7CDFD7852A6}"/>
            </c:ext>
          </c:extLst>
        </c:ser>
        <c:dLbls>
          <c:showLegendKey val="0"/>
          <c:showVal val="0"/>
          <c:showCatName val="0"/>
          <c:showSerName val="0"/>
          <c:showPercent val="0"/>
          <c:showBubbleSize val="0"/>
        </c:dLbls>
        <c:marker val="1"/>
        <c:smooth val="0"/>
        <c:axId val="486330056"/>
        <c:axId val="486329728"/>
      </c:lineChart>
      <c:catAx>
        <c:axId val="388388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8389392"/>
        <c:crosses val="autoZero"/>
        <c:auto val="1"/>
        <c:lblAlgn val="ctr"/>
        <c:lblOffset val="100"/>
        <c:noMultiLvlLbl val="0"/>
      </c:catAx>
      <c:valAx>
        <c:axId val="388389392"/>
        <c:scaling>
          <c:orientation val="minMax"/>
          <c:max val="3.5"/>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8388080"/>
        <c:crosses val="autoZero"/>
        <c:crossBetween val="between"/>
      </c:valAx>
      <c:valAx>
        <c:axId val="486329728"/>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6330056"/>
        <c:crosses val="max"/>
        <c:crossBetween val="between"/>
      </c:valAx>
      <c:catAx>
        <c:axId val="486330056"/>
        <c:scaling>
          <c:orientation val="minMax"/>
        </c:scaling>
        <c:delete val="1"/>
        <c:axPos val="b"/>
        <c:numFmt formatCode="General" sourceLinked="1"/>
        <c:majorTickMark val="none"/>
        <c:minorTickMark val="none"/>
        <c:tickLblPos val="nextTo"/>
        <c:crossAx val="486329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III_Virs_ES_iep_veidi_Tab_Din!$A$95</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III_Virs_ES_iep_veidi_Tab_Din!$B$94:$G$94</c:f>
              <c:strCache>
                <c:ptCount val="6"/>
                <c:pt idx="0">
                  <c:v>2012.gads</c:v>
                </c:pt>
                <c:pt idx="1">
                  <c:v>2013.gads</c:v>
                </c:pt>
                <c:pt idx="2">
                  <c:v>2014.gads</c:v>
                </c:pt>
                <c:pt idx="3">
                  <c:v>2015.gads</c:v>
                </c:pt>
                <c:pt idx="4">
                  <c:v>2016.gads</c:v>
                </c:pt>
                <c:pt idx="5">
                  <c:v>2017.gads</c:v>
                </c:pt>
              </c:strCache>
            </c:strRef>
          </c:cat>
          <c:val>
            <c:numRef>
              <c:f>III_Virs_ES_iep_veidi_Tab_Din!$B$95:$G$95</c:f>
              <c:numCache>
                <c:formatCode>0.0%</c:formatCode>
                <c:ptCount val="6"/>
                <c:pt idx="0">
                  <c:v>0.89600000000000002</c:v>
                </c:pt>
                <c:pt idx="1">
                  <c:v>-0.44900000000000001</c:v>
                </c:pt>
                <c:pt idx="2">
                  <c:v>-0.379</c:v>
                </c:pt>
                <c:pt idx="3">
                  <c:v>6.8000000000000005E-2</c:v>
                </c:pt>
                <c:pt idx="4" formatCode="0.00%">
                  <c:v>2.2240000000000002</c:v>
                </c:pt>
                <c:pt idx="5">
                  <c:v>-0.77678046611318385</c:v>
                </c:pt>
              </c:numCache>
            </c:numRef>
          </c:val>
          <c:extLst>
            <c:ext xmlns:c16="http://schemas.microsoft.com/office/drawing/2014/chart" uri="{C3380CC4-5D6E-409C-BE32-E72D297353CC}">
              <c16:uniqueId val="{00000000-FC0E-4FE7-9C62-D4AA087580A2}"/>
            </c:ext>
          </c:extLst>
        </c:ser>
        <c:ser>
          <c:idx val="1"/>
          <c:order val="1"/>
          <c:tx>
            <c:strRef>
              <c:f>III_Virs_ES_iep_veidi_Tab_Din!$A$96</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III_Virs_ES_iep_veidi_Tab_Din!$B$94:$G$94</c:f>
              <c:strCache>
                <c:ptCount val="6"/>
                <c:pt idx="0">
                  <c:v>2012.gads</c:v>
                </c:pt>
                <c:pt idx="1">
                  <c:v>2013.gads</c:v>
                </c:pt>
                <c:pt idx="2">
                  <c:v>2014.gads</c:v>
                </c:pt>
                <c:pt idx="3">
                  <c:v>2015.gads</c:v>
                </c:pt>
                <c:pt idx="4">
                  <c:v>2016.gads</c:v>
                </c:pt>
                <c:pt idx="5">
                  <c:v>2017.gads</c:v>
                </c:pt>
              </c:strCache>
            </c:strRef>
          </c:cat>
          <c:val>
            <c:numRef>
              <c:f>III_Virs_ES_iep_veidi_Tab_Din!$B$96:$G$96</c:f>
              <c:numCache>
                <c:formatCode>0.0%</c:formatCode>
                <c:ptCount val="6"/>
                <c:pt idx="0">
                  <c:v>1.1839999999999999</c:v>
                </c:pt>
                <c:pt idx="1">
                  <c:v>-0.49099999999999999</c:v>
                </c:pt>
                <c:pt idx="2">
                  <c:v>0.45</c:v>
                </c:pt>
                <c:pt idx="3">
                  <c:v>-0.53200000000000003</c:v>
                </c:pt>
                <c:pt idx="4" formatCode="0.00%">
                  <c:v>0.66700000000000004</c:v>
                </c:pt>
                <c:pt idx="5">
                  <c:v>-0.32603168512087782</c:v>
                </c:pt>
              </c:numCache>
            </c:numRef>
          </c:val>
          <c:extLst>
            <c:ext xmlns:c16="http://schemas.microsoft.com/office/drawing/2014/chart" uri="{C3380CC4-5D6E-409C-BE32-E72D297353CC}">
              <c16:uniqueId val="{00000001-FC0E-4FE7-9C62-D4AA087580A2}"/>
            </c:ext>
          </c:extLst>
        </c:ser>
        <c:ser>
          <c:idx val="2"/>
          <c:order val="2"/>
          <c:tx>
            <c:strRef>
              <c:f>III_Virs_ES_iep_veidi_Tab_Din!$A$97</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III_Virs_ES_iep_veidi_Tab_Din!$B$94:$G$94</c:f>
              <c:strCache>
                <c:ptCount val="6"/>
                <c:pt idx="0">
                  <c:v>2012.gads</c:v>
                </c:pt>
                <c:pt idx="1">
                  <c:v>2013.gads</c:v>
                </c:pt>
                <c:pt idx="2">
                  <c:v>2014.gads</c:v>
                </c:pt>
                <c:pt idx="3">
                  <c:v>2015.gads</c:v>
                </c:pt>
                <c:pt idx="4">
                  <c:v>2016.gads</c:v>
                </c:pt>
                <c:pt idx="5">
                  <c:v>2017.gads</c:v>
                </c:pt>
              </c:strCache>
            </c:strRef>
          </c:cat>
          <c:val>
            <c:numRef>
              <c:f>III_Virs_ES_iep_veidi_Tab_Din!$B$97:$G$97</c:f>
              <c:numCache>
                <c:formatCode>0.0%</c:formatCode>
                <c:ptCount val="6"/>
                <c:pt idx="0">
                  <c:v>-0.23400000000000001</c:v>
                </c:pt>
                <c:pt idx="1">
                  <c:v>-0.71099999999999997</c:v>
                </c:pt>
                <c:pt idx="2">
                  <c:v>4.8330000000000002</c:v>
                </c:pt>
                <c:pt idx="3">
                  <c:v>-0.873</c:v>
                </c:pt>
                <c:pt idx="4" formatCode="0.00%">
                  <c:v>13.702999999999999</c:v>
                </c:pt>
                <c:pt idx="5">
                  <c:v>-0.93935111263150206</c:v>
                </c:pt>
              </c:numCache>
            </c:numRef>
          </c:val>
          <c:extLst>
            <c:ext xmlns:c16="http://schemas.microsoft.com/office/drawing/2014/chart" uri="{C3380CC4-5D6E-409C-BE32-E72D297353CC}">
              <c16:uniqueId val="{00000002-FC0E-4FE7-9C62-D4AA087580A2}"/>
            </c:ext>
          </c:extLst>
        </c:ser>
        <c:dLbls>
          <c:showLegendKey val="0"/>
          <c:showVal val="0"/>
          <c:showCatName val="0"/>
          <c:showSerName val="0"/>
          <c:showPercent val="0"/>
          <c:showBubbleSize val="0"/>
        </c:dLbls>
        <c:gapWidth val="219"/>
        <c:axId val="385259464"/>
        <c:axId val="385258808"/>
      </c:barChart>
      <c:lineChart>
        <c:grouping val="standard"/>
        <c:varyColors val="0"/>
        <c:ser>
          <c:idx val="3"/>
          <c:order val="3"/>
          <c:tx>
            <c:strRef>
              <c:f>III_Virs_ES_iep_veidi_Tab_Din!$A$98</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7988268105503759E-2"/>
                  <c:y val="-0.14126375994045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0E-4FE7-9C62-D4AA087580A2}"/>
                </c:ext>
              </c:extLst>
            </c:dLbl>
            <c:dLbl>
              <c:idx val="3"/>
              <c:layout>
                <c:manualLayout>
                  <c:x val="-4.534538709050441E-2"/>
                  <c:y val="-0.1372836604379677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0E-4FE7-9C62-D4AA087580A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III_Virs_ES_iep_veidi_Tab_Din!$B$94:$E$94</c:f>
              <c:strCache>
                <c:ptCount val="4"/>
                <c:pt idx="0">
                  <c:v>2012.gads</c:v>
                </c:pt>
                <c:pt idx="1">
                  <c:v>2013.gads</c:v>
                </c:pt>
                <c:pt idx="2">
                  <c:v>2014.gads</c:v>
                </c:pt>
                <c:pt idx="3">
                  <c:v>2015.gads</c:v>
                </c:pt>
              </c:strCache>
            </c:strRef>
          </c:cat>
          <c:val>
            <c:numRef>
              <c:f>III_Virs_ES_iep_veidi_Tab_Din!$B$98:$G$98</c:f>
              <c:numCache>
                <c:formatCode>0.0%</c:formatCode>
                <c:ptCount val="6"/>
                <c:pt idx="0">
                  <c:v>1.2290000000000001</c:v>
                </c:pt>
                <c:pt idx="1">
                  <c:v>-0.71</c:v>
                </c:pt>
                <c:pt idx="2">
                  <c:v>1.32</c:v>
                </c:pt>
                <c:pt idx="3">
                  <c:v>-0.70099999999999996</c:v>
                </c:pt>
                <c:pt idx="4" formatCode="0.00%">
                  <c:v>2.2999999999999998</c:v>
                </c:pt>
                <c:pt idx="5">
                  <c:v>-0.76921706655468858</c:v>
                </c:pt>
              </c:numCache>
            </c:numRef>
          </c:val>
          <c:smooth val="0"/>
          <c:extLst>
            <c:ext xmlns:c16="http://schemas.microsoft.com/office/drawing/2014/chart" uri="{C3380CC4-5D6E-409C-BE32-E72D297353CC}">
              <c16:uniqueId val="{00000003-FC0E-4FE7-9C62-D4AA087580A2}"/>
            </c:ext>
          </c:extLst>
        </c:ser>
        <c:dLbls>
          <c:showLegendKey val="0"/>
          <c:showVal val="0"/>
          <c:showCatName val="0"/>
          <c:showSerName val="0"/>
          <c:showPercent val="0"/>
          <c:showBubbleSize val="0"/>
        </c:dLbls>
        <c:marker val="1"/>
        <c:smooth val="0"/>
        <c:axId val="385260120"/>
        <c:axId val="385256512"/>
      </c:lineChart>
      <c:catAx>
        <c:axId val="3852594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5258808"/>
        <c:crosses val="autoZero"/>
        <c:auto val="1"/>
        <c:lblAlgn val="ctr"/>
        <c:lblOffset val="100"/>
        <c:noMultiLvlLbl val="0"/>
      </c:catAx>
      <c:valAx>
        <c:axId val="385258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59464"/>
        <c:crosses val="autoZero"/>
        <c:crossBetween val="between"/>
      </c:valAx>
      <c:valAx>
        <c:axId val="385256512"/>
        <c:scaling>
          <c:orientation val="minMax"/>
          <c:max val="6"/>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60120"/>
        <c:crosses val="max"/>
        <c:crossBetween val="between"/>
      </c:valAx>
      <c:catAx>
        <c:axId val="385260120"/>
        <c:scaling>
          <c:orientation val="minMax"/>
        </c:scaling>
        <c:delete val="1"/>
        <c:axPos val="b"/>
        <c:numFmt formatCode="General" sourceLinked="1"/>
        <c:majorTickMark val="none"/>
        <c:minorTickMark val="none"/>
        <c:tickLblPos val="nextTo"/>
        <c:crossAx val="38525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III_Virs_ES_iep_veidi_Tab_Din!$B$149</c:f>
              <c:strCache>
                <c:ptCount val="1"/>
                <c:pt idx="0">
                  <c:v>Būvdarbi</c:v>
                </c:pt>
              </c:strCache>
            </c:strRef>
          </c:tx>
          <c:spPr>
            <a:solidFill>
              <a:schemeClr val="accent1"/>
            </a:solidFill>
            <a:ln>
              <a:noFill/>
            </a:ln>
            <a:effectLst/>
          </c:spPr>
          <c:invertIfNegative val="0"/>
          <c:dLbls>
            <c:dLbl>
              <c:idx val="0"/>
              <c:layout>
                <c:manualLayout>
                  <c:x val="3.0555555555555555E-2"/>
                  <c:y val="-4.16666666666665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9C-43B8-96F0-AE15FA78ECA5}"/>
                </c:ext>
              </c:extLst>
            </c:dLbl>
            <c:dLbl>
              <c:idx val="1"/>
              <c:layout>
                <c:manualLayout>
                  <c:x val="3.888888888888889E-2"/>
                  <c:y val="-5.0925925925926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9C-43B8-96F0-AE15FA78ECA5}"/>
                </c:ext>
              </c:extLst>
            </c:dLbl>
            <c:dLbl>
              <c:idx val="3"/>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9C-43B8-96F0-AE15FA78ECA5}"/>
                </c:ext>
              </c:extLst>
            </c:dLbl>
            <c:dLbl>
              <c:idx val="4"/>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9C-43B8-96F0-AE15FA78ECA5}"/>
                </c:ext>
              </c:extLst>
            </c:dLbl>
            <c:dLbl>
              <c:idx val="5"/>
              <c:layout>
                <c:manualLayout>
                  <c:x val="3.6111111111111108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9C-43B8-96F0-AE15FA78ECA5}"/>
                </c:ext>
              </c:extLst>
            </c:dLbl>
            <c:dLbl>
              <c:idx val="6"/>
              <c:layout>
                <c:manualLayout>
                  <c:x val="4.4444444444444391E-2"/>
                  <c:y val="-3.24074074074074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III_Virs_ES_iep_veidi_Tab_Din!$A$150:$A$157</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III_Virs_ES_iep_veidi_Tab_Din!$B$150:$B$157</c:f>
              <c:numCache>
                <c:formatCode>0.0%</c:formatCode>
                <c:ptCount val="8"/>
                <c:pt idx="0">
                  <c:v>0.59385841084871382</c:v>
                </c:pt>
                <c:pt idx="1">
                  <c:v>0</c:v>
                </c:pt>
                <c:pt idx="2">
                  <c:v>0.69260227181017353</c:v>
                </c:pt>
                <c:pt idx="3">
                  <c:v>0</c:v>
                </c:pt>
                <c:pt idx="4">
                  <c:v>0</c:v>
                </c:pt>
                <c:pt idx="5">
                  <c:v>0.1022364689287034</c:v>
                </c:pt>
                <c:pt idx="6">
                  <c:v>0</c:v>
                </c:pt>
                <c:pt idx="7">
                  <c:v>0.86135500617376204</c:v>
                </c:pt>
              </c:numCache>
            </c:numRef>
          </c:val>
          <c:extLst>
            <c:ext xmlns:c16="http://schemas.microsoft.com/office/drawing/2014/chart" uri="{C3380CC4-5D6E-409C-BE32-E72D297353CC}">
              <c16:uniqueId val="{00000000-189C-43B8-96F0-AE15FA78ECA5}"/>
            </c:ext>
          </c:extLst>
        </c:ser>
        <c:ser>
          <c:idx val="1"/>
          <c:order val="1"/>
          <c:tx>
            <c:strRef>
              <c:f>III_Virs_ES_iep_veidi_Tab_Din!$C$149</c:f>
              <c:strCache>
                <c:ptCount val="1"/>
                <c:pt idx="0">
                  <c:v>Prece</c:v>
                </c:pt>
              </c:strCache>
            </c:strRef>
          </c:tx>
          <c:spPr>
            <a:solidFill>
              <a:schemeClr val="accent2"/>
            </a:solidFill>
            <a:ln>
              <a:noFill/>
            </a:ln>
            <a:effectLst/>
          </c:spPr>
          <c:invertIfNegative val="0"/>
          <c:dLbls>
            <c:dLbl>
              <c:idx val="5"/>
              <c:layout>
                <c:manualLayout>
                  <c:x val="0.10833333333333328"/>
                  <c:y val="-2.77777777777778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III_Virs_ES_iep_veidi_Tab_Din!$A$150:$A$157</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III_Virs_ES_iep_veidi_Tab_Din!$C$150:$C$157</c:f>
              <c:numCache>
                <c:formatCode>0.0%</c:formatCode>
                <c:ptCount val="8"/>
                <c:pt idx="0">
                  <c:v>0.10976924309716114</c:v>
                </c:pt>
                <c:pt idx="1">
                  <c:v>0.66689824678800758</c:v>
                </c:pt>
                <c:pt idx="2">
                  <c:v>0.20461617874933918</c:v>
                </c:pt>
                <c:pt idx="3">
                  <c:v>0.81790001617165886</c:v>
                </c:pt>
                <c:pt idx="4">
                  <c:v>0.9139685790616956</c:v>
                </c:pt>
                <c:pt idx="5">
                  <c:v>0.8624199878880181</c:v>
                </c:pt>
                <c:pt idx="6">
                  <c:v>0.78244163178861381</c:v>
                </c:pt>
                <c:pt idx="7">
                  <c:v>0</c:v>
                </c:pt>
              </c:numCache>
            </c:numRef>
          </c:val>
          <c:extLst>
            <c:ext xmlns:c16="http://schemas.microsoft.com/office/drawing/2014/chart" uri="{C3380CC4-5D6E-409C-BE32-E72D297353CC}">
              <c16:uniqueId val="{00000001-189C-43B8-96F0-AE15FA78ECA5}"/>
            </c:ext>
          </c:extLst>
        </c:ser>
        <c:ser>
          <c:idx val="2"/>
          <c:order val="2"/>
          <c:tx>
            <c:strRef>
              <c:f>III_Virs_ES_iep_veidi_Tab_Din!$D$149</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III_Virs_ES_iep_veidi_Tab_Din!$A$150:$A$157</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III_Virs_ES_iep_veidi_Tab_Din!$D$150:$D$157</c:f>
              <c:numCache>
                <c:formatCode>0.0%</c:formatCode>
                <c:ptCount val="8"/>
                <c:pt idx="0">
                  <c:v>0.29637234605412499</c:v>
                </c:pt>
                <c:pt idx="1">
                  <c:v>0.33310175321199242</c:v>
                </c:pt>
                <c:pt idx="2">
                  <c:v>0.10278154944048731</c:v>
                </c:pt>
                <c:pt idx="3">
                  <c:v>0.18209998382834114</c:v>
                </c:pt>
                <c:pt idx="4">
                  <c:v>8.6031420938304404E-2</c:v>
                </c:pt>
                <c:pt idx="5">
                  <c:v>3.5343543183278488E-2</c:v>
                </c:pt>
                <c:pt idx="6">
                  <c:v>0.21755836821138622</c:v>
                </c:pt>
                <c:pt idx="7">
                  <c:v>0.13864499382623799</c:v>
                </c:pt>
              </c:numCache>
            </c:numRef>
          </c:val>
          <c:extLst>
            <c:ext xmlns:c16="http://schemas.microsoft.com/office/drawing/2014/chart" uri="{C3380CC4-5D6E-409C-BE32-E72D297353CC}">
              <c16:uniqueId val="{00000002-189C-43B8-96F0-AE15FA78ECA5}"/>
            </c:ext>
          </c:extLst>
        </c:ser>
        <c:dLbls>
          <c:showLegendKey val="0"/>
          <c:showVal val="0"/>
          <c:showCatName val="0"/>
          <c:showSerName val="0"/>
          <c:showPercent val="0"/>
          <c:showBubbleSize val="0"/>
        </c:dLbls>
        <c:gapWidth val="150"/>
        <c:overlap val="100"/>
        <c:axId val="472129728"/>
        <c:axId val="472137272"/>
      </c:barChart>
      <c:catAx>
        <c:axId val="472129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37272"/>
        <c:crosses val="autoZero"/>
        <c:auto val="1"/>
        <c:lblAlgn val="ctr"/>
        <c:lblOffset val="100"/>
        <c:noMultiLvlLbl val="0"/>
      </c:catAx>
      <c:valAx>
        <c:axId val="47213727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2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71424942849887E-2"/>
          <c:y val="4.2872454448017148E-2"/>
          <c:w val="0.8963242739818813"/>
          <c:h val="0.75531238659476252"/>
        </c:manualLayout>
      </c:layout>
      <c:lineChart>
        <c:grouping val="standard"/>
        <c:varyColors val="0"/>
        <c:ser>
          <c:idx val="0"/>
          <c:order val="0"/>
          <c:tx>
            <c:strRef>
              <c:f>III_Virs_ES_līgumu_vis.vien_Din!$B$13</c:f>
              <c:strCache>
                <c:ptCount val="1"/>
                <c:pt idx="0">
                  <c:v>Līgumu skaits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3"/>
              <c:layout>
                <c:manualLayout>
                  <c:x val="-3.8000000000000103E-2"/>
                  <c:y val="-0.1967246281714785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III_Virs_ES_līgumu_vis.vien_Din!$A$14:$A$19</c:f>
              <c:strCache>
                <c:ptCount val="6"/>
                <c:pt idx="0">
                  <c:v>2012.gads</c:v>
                </c:pt>
                <c:pt idx="1">
                  <c:v>2013.gads</c:v>
                </c:pt>
                <c:pt idx="2">
                  <c:v>2014.gads</c:v>
                </c:pt>
                <c:pt idx="3">
                  <c:v>2015.gads</c:v>
                </c:pt>
                <c:pt idx="4">
                  <c:v>2016.gads</c:v>
                </c:pt>
                <c:pt idx="5">
                  <c:v>2017.gads</c:v>
                </c:pt>
              </c:strCache>
            </c:strRef>
          </c:cat>
          <c:val>
            <c:numRef>
              <c:f>III_Virs_ES_līgumu_vis.vien_Din!$B$14:$B$19</c:f>
              <c:numCache>
                <c:formatCode>0.0%</c:formatCode>
                <c:ptCount val="6"/>
                <c:pt idx="0">
                  <c:v>0.73599999999999999</c:v>
                </c:pt>
                <c:pt idx="1">
                  <c:v>0.36099999999999999</c:v>
                </c:pt>
                <c:pt idx="2">
                  <c:v>0.78300000000000003</c:v>
                </c:pt>
                <c:pt idx="3">
                  <c:v>0.47299999999999998</c:v>
                </c:pt>
                <c:pt idx="4">
                  <c:v>0.71199999999999997</c:v>
                </c:pt>
                <c:pt idx="5">
                  <c:v>0.26100000000000001</c:v>
                </c:pt>
              </c:numCache>
            </c:numRef>
          </c:val>
          <c:smooth val="0"/>
          <c:extLst>
            <c:ext xmlns:c16="http://schemas.microsoft.com/office/drawing/2014/chart" uri="{C3380CC4-5D6E-409C-BE32-E72D297353CC}">
              <c16:uniqueId val="{00000000-8F7B-4264-A021-BB84670AEBD8}"/>
            </c:ext>
          </c:extLst>
        </c:ser>
        <c:ser>
          <c:idx val="1"/>
          <c:order val="1"/>
          <c:tx>
            <c:strRef>
              <c:f>III_Virs_ES_līgumu_vis.vien_Din!$C$13</c:f>
              <c:strCache>
                <c:ptCount val="1"/>
                <c:pt idx="0">
                  <c:v>Vispārīgo vienošanos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dLbl>
              <c:idx val="3"/>
              <c:layout>
                <c:manualLayout>
                  <c:x val="-1.0222222222222223E-2"/>
                  <c:y val="0.1829050014581510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III_Virs_ES_līgumu_vis.vien_Din!$A$14:$A$19</c:f>
              <c:strCache>
                <c:ptCount val="6"/>
                <c:pt idx="0">
                  <c:v>2012.gads</c:v>
                </c:pt>
                <c:pt idx="1">
                  <c:v>2013.gads</c:v>
                </c:pt>
                <c:pt idx="2">
                  <c:v>2014.gads</c:v>
                </c:pt>
                <c:pt idx="3">
                  <c:v>2015.gads</c:v>
                </c:pt>
                <c:pt idx="4">
                  <c:v>2016.gads</c:v>
                </c:pt>
                <c:pt idx="5">
                  <c:v>2017.gads</c:v>
                </c:pt>
              </c:strCache>
            </c:strRef>
          </c:cat>
          <c:val>
            <c:numRef>
              <c:f>III_Virs_ES_līgumu_vis.vien_Din!$C$14:$C$19</c:f>
              <c:numCache>
                <c:formatCode>0.0%</c:formatCode>
                <c:ptCount val="6"/>
                <c:pt idx="0">
                  <c:v>0.26400000000000001</c:v>
                </c:pt>
                <c:pt idx="1">
                  <c:v>0.63900000000000001</c:v>
                </c:pt>
                <c:pt idx="2">
                  <c:v>0.217</c:v>
                </c:pt>
                <c:pt idx="3">
                  <c:v>0.52700000000000002</c:v>
                </c:pt>
                <c:pt idx="4">
                  <c:v>0.28799999999999998</c:v>
                </c:pt>
                <c:pt idx="5">
                  <c:v>0.73899999999999999</c:v>
                </c:pt>
              </c:numCache>
            </c:numRef>
          </c:val>
          <c:smooth val="0"/>
          <c:extLst>
            <c:ext xmlns:c16="http://schemas.microsoft.com/office/drawing/2014/chart" uri="{C3380CC4-5D6E-409C-BE32-E72D297353CC}">
              <c16:uniqueId val="{00000001-8F7B-4264-A021-BB84670AEBD8}"/>
            </c:ext>
          </c:extLst>
        </c:ser>
        <c:dLbls>
          <c:dLblPos val="t"/>
          <c:showLegendKey val="0"/>
          <c:showVal val="1"/>
          <c:showCatName val="0"/>
          <c:showSerName val="0"/>
          <c:showPercent val="0"/>
          <c:showBubbleSize val="0"/>
        </c:dLbls>
        <c:smooth val="0"/>
        <c:axId val="403712256"/>
        <c:axId val="403708320"/>
      </c:lineChart>
      <c:catAx>
        <c:axId val="403712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08320"/>
        <c:crosses val="autoZero"/>
        <c:auto val="1"/>
        <c:lblAlgn val="ctr"/>
        <c:lblOffset val="100"/>
        <c:noMultiLvlLbl val="0"/>
      </c:catAx>
      <c:valAx>
        <c:axId val="40370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12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III_Virs_ES_līgumu_vis.vien_Din!$B$33</c:f>
              <c:strCache>
                <c:ptCount val="1"/>
                <c:pt idx="0">
                  <c:v>Iepirkumu skaits</c:v>
                </c:pt>
              </c:strCache>
            </c:strRef>
          </c:tx>
          <c:spPr>
            <a:solidFill>
              <a:schemeClr val="accent1"/>
            </a:solidFill>
            <a:ln>
              <a:noFill/>
            </a:ln>
            <a:effectLst/>
          </c:spPr>
          <c:invertIfNegative val="0"/>
          <c:dLbls>
            <c:dLbl>
              <c:idx val="0"/>
              <c:layout>
                <c:manualLayout>
                  <c:x val="0"/>
                  <c:y val="-3.06513409961685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6-4290-82DD-7637694886C7}"/>
                </c:ext>
              </c:extLst>
            </c:dLbl>
            <c:dLbl>
              <c:idx val="1"/>
              <c:layout>
                <c:manualLayout>
                  <c:x val="4.4444444444444495E-2"/>
                  <c:y val="-4.5977011494252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6-4290-82DD-7637694886C7}"/>
                </c:ext>
              </c:extLst>
            </c:dLbl>
            <c:dLbl>
              <c:idx val="3"/>
              <c:layout>
                <c:manualLayout>
                  <c:x val="8.0111835116471325E-2"/>
                  <c:y val="-0.1403691584006544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2D-4B77-8A60-3661A15269E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III_Virs_ES_līgumu_vis.vien_Din!$A$34:$A$38</c:f>
              <c:strCache>
                <c:ptCount val="5"/>
                <c:pt idx="0">
                  <c:v>2013.gads</c:v>
                </c:pt>
                <c:pt idx="1">
                  <c:v>2014.gads</c:v>
                </c:pt>
                <c:pt idx="2">
                  <c:v>2015.gads</c:v>
                </c:pt>
                <c:pt idx="3">
                  <c:v>2016.gads</c:v>
                </c:pt>
                <c:pt idx="4">
                  <c:v>2017.gads</c:v>
                </c:pt>
              </c:strCache>
            </c:strRef>
          </c:cat>
          <c:val>
            <c:numRef>
              <c:f>III_Virs_ES_līgumu_vis.vien_Din!$B$34:$B$38</c:f>
              <c:numCache>
                <c:formatCode>0.0%</c:formatCode>
                <c:ptCount val="5"/>
                <c:pt idx="0">
                  <c:v>9.9009900990099015E-2</c:v>
                </c:pt>
                <c:pt idx="1">
                  <c:v>7.2072072072072071E-2</c:v>
                </c:pt>
                <c:pt idx="2">
                  <c:v>-0.21848739495798319</c:v>
                </c:pt>
                <c:pt idx="3">
                  <c:v>5.3763440860215055E-2</c:v>
                </c:pt>
                <c:pt idx="4">
                  <c:v>-0.30769230769230771</c:v>
                </c:pt>
              </c:numCache>
            </c:numRef>
          </c:val>
          <c:extLst>
            <c:ext xmlns:c16="http://schemas.microsoft.com/office/drawing/2014/chart" uri="{C3380CC4-5D6E-409C-BE32-E72D297353CC}">
              <c16:uniqueId val="{00000000-9266-4290-82DD-7637694886C7}"/>
            </c:ext>
          </c:extLst>
        </c:ser>
        <c:ser>
          <c:idx val="1"/>
          <c:order val="1"/>
          <c:tx>
            <c:strRef>
              <c:f>III_Virs_ES_līgumu_vis.vien_Din!$C$33</c:f>
              <c:strCache>
                <c:ptCount val="1"/>
                <c:pt idx="0">
                  <c:v>Kopā noslēgto līgumu un vispārīgo vienošanos skaits</c:v>
                </c:pt>
              </c:strCache>
            </c:strRef>
          </c:tx>
          <c:spPr>
            <a:solidFill>
              <a:schemeClr val="accent2"/>
            </a:solidFill>
            <a:ln>
              <a:noFill/>
            </a:ln>
            <a:effectLst/>
          </c:spPr>
          <c:invertIfNegative val="0"/>
          <c:dLbls>
            <c:dLbl>
              <c:idx val="0"/>
              <c:layout>
                <c:manualLayout>
                  <c:x val="9.7429980130988303E-2"/>
                  <c:y val="7.662835249042145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6-4290-82DD-7637694886C7}"/>
                </c:ext>
              </c:extLst>
            </c:dLbl>
            <c:dLbl>
              <c:idx val="2"/>
              <c:layout>
                <c:manualLayout>
                  <c:x val="-1.388888888888899E-2"/>
                  <c:y val="-3.5120922504882739E-1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6-4290-82DD-7637694886C7}"/>
                </c:ext>
              </c:extLst>
            </c:dLbl>
            <c:dLbl>
              <c:idx val="3"/>
              <c:layout>
                <c:manualLayout>
                  <c:x val="-1.2461059190031244E-2"/>
                  <c:y val="-4.5977011494252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2D-4B77-8A60-3661A15269E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III_Virs_ES_līgumu_vis.vien_Din!$A$34:$A$38</c:f>
              <c:strCache>
                <c:ptCount val="5"/>
                <c:pt idx="0">
                  <c:v>2013.gads</c:v>
                </c:pt>
                <c:pt idx="1">
                  <c:v>2014.gads</c:v>
                </c:pt>
                <c:pt idx="2">
                  <c:v>2015.gads</c:v>
                </c:pt>
                <c:pt idx="3">
                  <c:v>2016.gads</c:v>
                </c:pt>
                <c:pt idx="4">
                  <c:v>2017.gads</c:v>
                </c:pt>
              </c:strCache>
            </c:strRef>
          </c:cat>
          <c:val>
            <c:numRef>
              <c:f>III_Virs_ES_līgumu_vis.vien_Din!$C$34:$C$38</c:f>
              <c:numCache>
                <c:formatCode>0.0%</c:formatCode>
                <c:ptCount val="5"/>
                <c:pt idx="0">
                  <c:v>1.5675675675675675</c:v>
                </c:pt>
                <c:pt idx="1">
                  <c:v>-0.6</c:v>
                </c:pt>
                <c:pt idx="2">
                  <c:v>0.79605263157894735</c:v>
                </c:pt>
                <c:pt idx="3">
                  <c:v>-0.46520146520146521</c:v>
                </c:pt>
                <c:pt idx="4">
                  <c:v>0.84931506849315064</c:v>
                </c:pt>
              </c:numCache>
            </c:numRef>
          </c:val>
          <c:extLst>
            <c:ext xmlns:c16="http://schemas.microsoft.com/office/drawing/2014/chart" uri="{C3380CC4-5D6E-409C-BE32-E72D297353CC}">
              <c16:uniqueId val="{00000001-9266-4290-82DD-7637694886C7}"/>
            </c:ext>
          </c:extLst>
        </c:ser>
        <c:dLbls>
          <c:showLegendKey val="0"/>
          <c:showVal val="1"/>
          <c:showCatName val="0"/>
          <c:showSerName val="0"/>
          <c:showPercent val="0"/>
          <c:showBubbleSize val="0"/>
        </c:dLbls>
        <c:gapWidth val="269"/>
        <c:overlap val="-27"/>
        <c:axId val="402499344"/>
        <c:axId val="402498360"/>
      </c:barChart>
      <c:lineChart>
        <c:grouping val="standard"/>
        <c:varyColors val="0"/>
        <c:ser>
          <c:idx val="2"/>
          <c:order val="2"/>
          <c:tx>
            <c:strRef>
              <c:f>III_Virs_ES_līgumu_vis.vien_Din!$D$33</c:f>
              <c:strCache>
                <c:ptCount val="1"/>
                <c:pt idx="0">
                  <c:v>Vidējais līgumu vai vispārīgo vienošanos skaits uz iepirkumu</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III_Virs_ES_līgumu_vis.vien_Din!$A$34:$A$37</c:f>
              <c:strCache>
                <c:ptCount val="4"/>
                <c:pt idx="0">
                  <c:v>2013.gads</c:v>
                </c:pt>
                <c:pt idx="1">
                  <c:v>2014.gads</c:v>
                </c:pt>
                <c:pt idx="2">
                  <c:v>2015.gads</c:v>
                </c:pt>
                <c:pt idx="3">
                  <c:v>2016.gads</c:v>
                </c:pt>
              </c:strCache>
            </c:strRef>
          </c:cat>
          <c:val>
            <c:numRef>
              <c:f>III_Virs_ES_līgumu_vis.vien_Din!$D$34:$D$38</c:f>
              <c:numCache>
                <c:formatCode>#\ ##0.0</c:formatCode>
                <c:ptCount val="5"/>
                <c:pt idx="0">
                  <c:v>3.4234234234234235</c:v>
                </c:pt>
                <c:pt idx="1">
                  <c:v>1.2773109243697478</c:v>
                </c:pt>
                <c:pt idx="2">
                  <c:v>2.935483870967742</c:v>
                </c:pt>
                <c:pt idx="3" formatCode="0.0">
                  <c:v>1.489795918367347</c:v>
                </c:pt>
                <c:pt idx="4" formatCode="0.0">
                  <c:v>3</c:v>
                </c:pt>
              </c:numCache>
            </c:numRef>
          </c:val>
          <c:smooth val="0"/>
          <c:extLst>
            <c:ext xmlns:c16="http://schemas.microsoft.com/office/drawing/2014/chart" uri="{C3380CC4-5D6E-409C-BE32-E72D297353CC}">
              <c16:uniqueId val="{00000002-9266-4290-82DD-7637694886C7}"/>
            </c:ext>
          </c:extLst>
        </c:ser>
        <c:dLbls>
          <c:showLegendKey val="0"/>
          <c:showVal val="1"/>
          <c:showCatName val="0"/>
          <c:showSerName val="0"/>
          <c:showPercent val="0"/>
          <c:showBubbleSize val="0"/>
        </c:dLbls>
        <c:marker val="1"/>
        <c:smooth val="0"/>
        <c:axId val="402490816"/>
        <c:axId val="402490488"/>
      </c:lineChart>
      <c:catAx>
        <c:axId val="402499344"/>
        <c:scaling>
          <c:orientation val="minMax"/>
        </c:scaling>
        <c:delete val="1"/>
        <c:axPos val="b"/>
        <c:numFmt formatCode="General" sourceLinked="1"/>
        <c:majorTickMark val="none"/>
        <c:minorTickMark val="none"/>
        <c:tickLblPos val="nextTo"/>
        <c:crossAx val="402498360"/>
        <c:crosses val="autoZero"/>
        <c:auto val="1"/>
        <c:lblAlgn val="ctr"/>
        <c:lblOffset val="100"/>
        <c:noMultiLvlLbl val="0"/>
      </c:catAx>
      <c:valAx>
        <c:axId val="4024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Procentuālais</a:t>
                </a:r>
                <a:r>
                  <a:rPr lang="lv-LV" baseline="0"/>
                  <a:t> ī</a:t>
                </a:r>
                <a:r>
                  <a:rPr lang="lv-LV"/>
                  <a:t>patsvars</a:t>
                </a:r>
                <a:r>
                  <a:rPr lang="lv-LV" baseline="0"/>
                  <a:t> pret iepriekšējo gadu</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9344"/>
        <c:crosses val="autoZero"/>
        <c:crossBetween val="between"/>
      </c:valAx>
      <c:valAx>
        <c:axId val="4024904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Skaits</a:t>
                </a:r>
              </a:p>
            </c:rich>
          </c:tx>
          <c:layout>
            <c:manualLayout>
              <c:xMode val="edge"/>
              <c:yMode val="edge"/>
              <c:x val="0.94466033801849536"/>
              <c:y val="0.245957100190062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0816"/>
        <c:crosses val="max"/>
        <c:crossBetween val="between"/>
      </c:valAx>
      <c:catAx>
        <c:axId val="402490816"/>
        <c:scaling>
          <c:orientation val="minMax"/>
        </c:scaling>
        <c:delete val="1"/>
        <c:axPos val="b"/>
        <c:numFmt formatCode="General" sourceLinked="1"/>
        <c:majorTickMark val="none"/>
        <c:minorTickMark val="none"/>
        <c:tickLblPos val="nextTo"/>
        <c:crossAx val="4024904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533312022729005E-2"/>
          <c:y val="0.10418710018662115"/>
          <c:w val="0.86731443127014174"/>
          <c:h val="0.85895931259543123"/>
        </c:manualLayout>
      </c:layout>
      <c:pie3DChart>
        <c:varyColors val="1"/>
        <c:ser>
          <c:idx val="0"/>
          <c:order val="0"/>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05A4-4192-B702-94DE699A64C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5A4-4192-B702-94DE699A64CC}"/>
              </c:ext>
            </c:extLst>
          </c:dPt>
          <c:dPt>
            <c:idx val="2"/>
            <c:bubble3D val="0"/>
            <c:explosion val="9"/>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5A4-4192-B702-94DE699A64C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5A4-4192-B702-94DE699A64C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5A4-4192-B702-94DE699A64C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5A4-4192-B702-94DE699A64C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5A4-4192-B702-94DE699A64C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05A4-4192-B702-94DE699A64C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5A4-4192-B702-94DE699A64C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05A4-4192-B702-94DE699A64C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35E5-4D84-A58D-078173BDC590}"/>
              </c:ext>
            </c:extLst>
          </c:dPt>
          <c:dLbls>
            <c:dLbl>
              <c:idx val="0"/>
              <c:layout>
                <c:manualLayout>
                  <c:x val="7.845758749593533E-2"/>
                  <c:y val="-2.50031958440428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5A4-4192-B702-94DE699A64CC}"/>
                </c:ext>
              </c:extLst>
            </c:dLbl>
            <c:dLbl>
              <c:idx val="1"/>
              <c:layout>
                <c:manualLayout>
                  <c:x val="2.2056151444193085E-2"/>
                  <c:y val="-0.1010822351869228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5A4-4192-B702-94DE699A64CC}"/>
                </c:ext>
              </c:extLst>
            </c:dLbl>
            <c:dLbl>
              <c:idx val="2"/>
              <c:layout>
                <c:manualLayout>
                  <c:x val="-1.5088986483354618E-16"/>
                  <c:y val="-0.1500860837991105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5A4-4192-B702-94DE699A64CC}"/>
                </c:ext>
              </c:extLst>
            </c:dLbl>
            <c:dLbl>
              <c:idx val="3"/>
              <c:layout>
                <c:manualLayout>
                  <c:x val="-6.4123316787641882E-2"/>
                  <c:y val="0.15901649599499545"/>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5A4-4192-B702-94DE699A64CC}"/>
                </c:ext>
              </c:extLst>
            </c:dLbl>
            <c:dLbl>
              <c:idx val="4"/>
              <c:layout>
                <c:manualLayout>
                  <c:x val="-0.20931269088611987"/>
                  <c:y val="-0.1590495294552059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5A4-4192-B702-94DE699A64CC}"/>
                </c:ext>
              </c:extLst>
            </c:dLbl>
            <c:dLbl>
              <c:idx val="5"/>
              <c:layout>
                <c:manualLayout>
                  <c:x val="-9.8765416097110259E-2"/>
                  <c:y val="-0.121673003802281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A4-4192-B702-94DE699A64CC}"/>
                </c:ext>
              </c:extLst>
            </c:dLbl>
            <c:dLbl>
              <c:idx val="6"/>
              <c:layout>
                <c:manualLayout>
                  <c:x val="4.4626544080466596E-2"/>
                  <c:y val="-0.126791014241090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A4-4192-B702-94DE699A64CC}"/>
                </c:ext>
              </c:extLst>
            </c:dLbl>
            <c:dLbl>
              <c:idx val="7"/>
              <c:layout>
                <c:manualLayout>
                  <c:x val="0.17378403587310265"/>
                  <c:y val="-0.118128199754498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5A4-4192-B702-94DE699A64C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7-05A4-4192-B702-94DE699A64CC}"/>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A-05A4-4192-B702-94DE699A64CC}"/>
                </c:ext>
              </c:extLst>
            </c:dLbl>
            <c:dLbl>
              <c:idx val="10"/>
              <c:layout>
                <c:manualLayout>
                  <c:x val="0.26269980514244434"/>
                  <c:y val="-0.120732313403790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5E5-4D84-A58D-078173BDC59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III_Virs_ES_ārvalstnieki_Din!$A$4:$B$14</c:f>
              <c:multiLvlStrCache>
                <c:ptCount val="8"/>
                <c:lvl>
                  <c:pt idx="0">
                    <c:v>24000000-4</c:v>
                  </c:pt>
                  <c:pt idx="1">
                    <c:v>31000000-6</c:v>
                  </c:pt>
                  <c:pt idx="2">
                    <c:v>34000000-7</c:v>
                  </c:pt>
                  <c:pt idx="3">
                    <c:v>42000000-6</c:v>
                  </c:pt>
                  <c:pt idx="4">
                    <c:v>45000000-7</c:v>
                  </c:pt>
                  <c:pt idx="5">
                    <c:v>72000000-5</c:v>
                  </c:pt>
                  <c:pt idx="6">
                    <c:v>76000000-0</c:v>
                  </c:pt>
                  <c:pt idx="7">
                    <c:v>90000000-8</c:v>
                  </c:pt>
                </c:lvl>
                <c:lvl>
                  <c:pt idx="0">
                    <c:v>Preces</c:v>
                  </c:pt>
                  <c:pt idx="4">
                    <c:v>Būvdarbi</c:v>
                  </c:pt>
                  <c:pt idx="5">
                    <c:v>Pakal-pojumi</c:v>
                  </c:pt>
                </c:lvl>
              </c:multiLvlStrCache>
            </c:multiLvlStrRef>
          </c:cat>
          <c:val>
            <c:numRef>
              <c:f>III_Virs_ES_ārvalstnieki_Din!$C$4:$C$14</c:f>
              <c:numCache>
                <c:formatCode>#,##0</c:formatCode>
                <c:ptCount val="11"/>
                <c:pt idx="0">
                  <c:v>1977732</c:v>
                </c:pt>
                <c:pt idx="1">
                  <c:v>8298421</c:v>
                </c:pt>
                <c:pt idx="2">
                  <c:v>984250</c:v>
                </c:pt>
                <c:pt idx="3">
                  <c:v>7961430</c:v>
                </c:pt>
                <c:pt idx="4">
                  <c:v>18000000</c:v>
                </c:pt>
                <c:pt idx="5">
                  <c:v>2425995</c:v>
                </c:pt>
                <c:pt idx="6">
                  <c:v>200000</c:v>
                </c:pt>
                <c:pt idx="7">
                  <c:v>4695173</c:v>
                </c:pt>
              </c:numCache>
            </c:numRef>
          </c:val>
          <c:extLst>
            <c:ext xmlns:c16="http://schemas.microsoft.com/office/drawing/2014/chart" uri="{C3380CC4-5D6E-409C-BE32-E72D297353CC}">
              <c16:uniqueId val="{00000000-05A4-4192-B702-94DE699A64C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II_Dinamika_sps_skaits_kopā_sum!$A$49</c:f>
              <c:strCache>
                <c:ptCount val="1"/>
                <c:pt idx="0">
                  <c:v>Kopējais sabiedrisko pakalpojumu sniedzēju skaits</c:v>
                </c:pt>
              </c:strCache>
            </c:strRef>
          </c:tx>
          <c:spPr>
            <a:solidFill>
              <a:schemeClr val="accent2"/>
            </a:solidFill>
            <a:ln>
              <a:noFill/>
            </a:ln>
            <a:effectLst/>
          </c:spPr>
          <c:invertIfNegative val="0"/>
          <c:cat>
            <c:strRef>
              <c:f>II_Dinamika_sps_skaits_kopā_sum!$B$47:$I$47</c:f>
              <c:strCache>
                <c:ptCount val="8"/>
                <c:pt idx="0">
                  <c:v>2010.gads</c:v>
                </c:pt>
                <c:pt idx="1">
                  <c:v>2011.gads</c:v>
                </c:pt>
                <c:pt idx="2">
                  <c:v>2012.gads</c:v>
                </c:pt>
                <c:pt idx="3">
                  <c:v>2013.gads</c:v>
                </c:pt>
                <c:pt idx="4">
                  <c:v>2014.gads</c:v>
                </c:pt>
                <c:pt idx="5">
                  <c:v>2015.gads</c:v>
                </c:pt>
                <c:pt idx="6">
                  <c:v>2016.gads</c:v>
                </c:pt>
                <c:pt idx="7">
                  <c:v>2017.gads</c:v>
                </c:pt>
              </c:strCache>
            </c:strRef>
          </c:cat>
          <c:val>
            <c:numRef>
              <c:f>II_Dinamika_sps_skaits_kopā_sum!$B$49:$I$49</c:f>
              <c:numCache>
                <c:formatCode>General</c:formatCode>
                <c:ptCount val="8"/>
                <c:pt idx="0">
                  <c:v>247</c:v>
                </c:pt>
                <c:pt idx="1">
                  <c:v>228</c:v>
                </c:pt>
                <c:pt idx="2">
                  <c:v>240</c:v>
                </c:pt>
                <c:pt idx="3">
                  <c:v>238</c:v>
                </c:pt>
                <c:pt idx="4">
                  <c:v>221</c:v>
                </c:pt>
                <c:pt idx="5">
                  <c:v>235</c:v>
                </c:pt>
                <c:pt idx="6">
                  <c:v>228</c:v>
                </c:pt>
                <c:pt idx="7">
                  <c:v>230</c:v>
                </c:pt>
              </c:numCache>
            </c:numRef>
          </c:val>
          <c:extLst>
            <c:ext xmlns:c16="http://schemas.microsoft.com/office/drawing/2014/chart" uri="{C3380CC4-5D6E-409C-BE32-E72D297353CC}">
              <c16:uniqueId val="{00000001-C073-4D66-AA24-D0B4E608A181}"/>
            </c:ext>
          </c:extLst>
        </c:ser>
        <c:dLbls>
          <c:showLegendKey val="0"/>
          <c:showVal val="0"/>
          <c:showCatName val="0"/>
          <c:showSerName val="0"/>
          <c:showPercent val="0"/>
          <c:showBubbleSize val="0"/>
        </c:dLbls>
        <c:gapWidth val="219"/>
        <c:axId val="477074104"/>
        <c:axId val="477071480"/>
      </c:barChart>
      <c:lineChart>
        <c:grouping val="standard"/>
        <c:varyColors val="0"/>
        <c:ser>
          <c:idx val="0"/>
          <c:order val="0"/>
          <c:tx>
            <c:strRef>
              <c:f>II_Dinamika_sps_skaits_kopā_sum!$A$48</c:f>
              <c:strCache>
                <c:ptCount val="1"/>
                <c:pt idx="0">
                  <c:v>Īpatsvars %</c:v>
                </c:pt>
              </c:strCache>
            </c:strRef>
          </c:tx>
          <c:spPr>
            <a:ln w="28575" cap="rnd">
              <a:solidFill>
                <a:schemeClr val="accent1"/>
              </a:solidFill>
              <a:round/>
            </a:ln>
            <a:effectLst/>
          </c:spPr>
          <c:marker>
            <c:symbol val="none"/>
          </c:marker>
          <c:cat>
            <c:strRef>
              <c:f>II_Dinamika_sps_skaits_kopā_sum!$B$47:$I$47</c:f>
              <c:strCache>
                <c:ptCount val="8"/>
                <c:pt idx="0">
                  <c:v>2010.gads</c:v>
                </c:pt>
                <c:pt idx="1">
                  <c:v>2011.gads</c:v>
                </c:pt>
                <c:pt idx="2">
                  <c:v>2012.gads</c:v>
                </c:pt>
                <c:pt idx="3">
                  <c:v>2013.gads</c:v>
                </c:pt>
                <c:pt idx="4">
                  <c:v>2014.gads</c:v>
                </c:pt>
                <c:pt idx="5">
                  <c:v>2015.gads</c:v>
                </c:pt>
                <c:pt idx="6">
                  <c:v>2016.gads</c:v>
                </c:pt>
                <c:pt idx="7">
                  <c:v>2017.gads</c:v>
                </c:pt>
              </c:strCache>
            </c:strRef>
          </c:cat>
          <c:val>
            <c:numRef>
              <c:f>II_Dinamika_sps_skaits_kopā_sum!$B$48:$I$48</c:f>
              <c:numCache>
                <c:formatCode>0.0%</c:formatCode>
                <c:ptCount val="8"/>
                <c:pt idx="0">
                  <c:v>0.10121457489878542</c:v>
                </c:pt>
                <c:pt idx="1">
                  <c:v>0.11842105263157894</c:v>
                </c:pt>
                <c:pt idx="2">
                  <c:v>0.11666666666666667</c:v>
                </c:pt>
                <c:pt idx="3">
                  <c:v>0.12605042016806722</c:v>
                </c:pt>
                <c:pt idx="4">
                  <c:v>0.12669683257918551</c:v>
                </c:pt>
                <c:pt idx="5">
                  <c:v>9.3617021276595741E-2</c:v>
                </c:pt>
                <c:pt idx="6">
                  <c:v>9.6491228070175433E-2</c:v>
                </c:pt>
                <c:pt idx="7">
                  <c:v>9.5652173913043481E-2</c:v>
                </c:pt>
              </c:numCache>
            </c:numRef>
          </c:val>
          <c:smooth val="0"/>
          <c:extLst>
            <c:ext xmlns:c16="http://schemas.microsoft.com/office/drawing/2014/chart" uri="{C3380CC4-5D6E-409C-BE32-E72D297353CC}">
              <c16:uniqueId val="{00000000-C073-4D66-AA24-D0B4E608A181}"/>
            </c:ext>
          </c:extLst>
        </c:ser>
        <c:dLbls>
          <c:showLegendKey val="0"/>
          <c:showVal val="0"/>
          <c:showCatName val="0"/>
          <c:showSerName val="0"/>
          <c:showPercent val="0"/>
          <c:showBubbleSize val="0"/>
        </c:dLbls>
        <c:marker val="1"/>
        <c:smooth val="0"/>
        <c:axId val="477091160"/>
        <c:axId val="477088208"/>
      </c:lineChart>
      <c:catAx>
        <c:axId val="47709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88208"/>
        <c:crosses val="autoZero"/>
        <c:auto val="1"/>
        <c:lblAlgn val="ctr"/>
        <c:lblOffset val="100"/>
        <c:noMultiLvlLbl val="0"/>
      </c:catAx>
      <c:valAx>
        <c:axId val="477088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91160"/>
        <c:crosses val="autoZero"/>
        <c:crossBetween val="between"/>
      </c:valAx>
      <c:valAx>
        <c:axId val="47707148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74104"/>
        <c:crosses val="max"/>
        <c:crossBetween val="between"/>
      </c:valAx>
      <c:catAx>
        <c:axId val="477074104"/>
        <c:scaling>
          <c:orientation val="minMax"/>
        </c:scaling>
        <c:delete val="1"/>
        <c:axPos val="b"/>
        <c:numFmt formatCode="General" sourceLinked="1"/>
        <c:majorTickMark val="out"/>
        <c:minorTickMark val="none"/>
        <c:tickLblPos val="nextTo"/>
        <c:crossAx val="477071480"/>
        <c:crosses val="autoZero"/>
        <c:auto val="1"/>
        <c:lblAlgn val="ctr"/>
        <c:lblOffset val="100"/>
        <c:noMultiLvlLbl val="0"/>
      </c:catAx>
      <c:spPr>
        <a:noFill/>
        <a:ln>
          <a:noFill/>
        </a:ln>
        <a:effectLst/>
      </c:spPr>
    </c:plotArea>
    <c:legend>
      <c:legendPos val="b"/>
      <c:layout>
        <c:manualLayout>
          <c:xMode val="edge"/>
          <c:yMode val="edge"/>
          <c:x val="0"/>
          <c:y val="0.92320765365080215"/>
          <c:w val="0.72017422615561488"/>
          <c:h val="7.6792298195927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III_Virs_ES_ārvalstnieki_Din!$B$61</c:f>
              <c:strCache>
                <c:ptCount val="1"/>
                <c:pt idx="0">
                  <c:v>Vietējie (% no kopējās līgumu summas)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III_Virs_ES_ārvalstnieki_Din!$A$62:$A$69</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III_Virs_ES_ārvalstnieki_Din!$B$62:$B$69</c:f>
              <c:numCache>
                <c:formatCode>0.0%</c:formatCode>
                <c:ptCount val="8"/>
                <c:pt idx="0">
                  <c:v>0.39400000000000002</c:v>
                </c:pt>
                <c:pt idx="1">
                  <c:v>0.81599999999999995</c:v>
                </c:pt>
                <c:pt idx="2">
                  <c:v>0.52600000000000002</c:v>
                </c:pt>
                <c:pt idx="3">
                  <c:v>0.629</c:v>
                </c:pt>
                <c:pt idx="4">
                  <c:v>0.78</c:v>
                </c:pt>
                <c:pt idx="5">
                  <c:v>0.57899999999999996</c:v>
                </c:pt>
                <c:pt idx="6">
                  <c:v>0.78799999999999992</c:v>
                </c:pt>
                <c:pt idx="7">
                  <c:v>0.83899999999999997</c:v>
                </c:pt>
              </c:numCache>
            </c:numRef>
          </c:val>
          <c:extLst>
            <c:ext xmlns:c16="http://schemas.microsoft.com/office/drawing/2014/chart" uri="{C3380CC4-5D6E-409C-BE32-E72D297353CC}">
              <c16:uniqueId val="{00000000-0C59-4EF7-BFF5-E717C3172441}"/>
            </c:ext>
          </c:extLst>
        </c:ser>
        <c:ser>
          <c:idx val="1"/>
          <c:order val="1"/>
          <c:tx>
            <c:strRef>
              <c:f>III_Virs_ES_ārvalstnieki_Din!$C$61</c:f>
              <c:strCache>
                <c:ptCount val="1"/>
                <c:pt idx="0">
                  <c:v>Citas valstis (% no kopējās līgumu summas)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III_Virs_ES_ārvalstnieki_Din!$A$62:$A$69</c:f>
              <c:strCache>
                <c:ptCount val="8"/>
                <c:pt idx="0">
                  <c:v>2010.gads</c:v>
                </c:pt>
                <c:pt idx="1">
                  <c:v>2011.gads</c:v>
                </c:pt>
                <c:pt idx="2">
                  <c:v>2012.gads</c:v>
                </c:pt>
                <c:pt idx="3">
                  <c:v>2013.gads</c:v>
                </c:pt>
                <c:pt idx="4">
                  <c:v>2014.gads</c:v>
                </c:pt>
                <c:pt idx="5">
                  <c:v>2015.gads</c:v>
                </c:pt>
                <c:pt idx="6">
                  <c:v>2016.gads</c:v>
                </c:pt>
                <c:pt idx="7">
                  <c:v>2017.gads</c:v>
                </c:pt>
              </c:strCache>
            </c:strRef>
          </c:cat>
          <c:val>
            <c:numRef>
              <c:f>III_Virs_ES_ārvalstnieki_Din!$C$62:$C$69</c:f>
              <c:numCache>
                <c:formatCode>0.0%</c:formatCode>
                <c:ptCount val="8"/>
                <c:pt idx="0">
                  <c:v>0.60599999999999998</c:v>
                </c:pt>
                <c:pt idx="1">
                  <c:v>0.184</c:v>
                </c:pt>
                <c:pt idx="2">
                  <c:v>0.47399999999999998</c:v>
                </c:pt>
                <c:pt idx="3">
                  <c:v>0.371</c:v>
                </c:pt>
                <c:pt idx="4">
                  <c:v>0.22</c:v>
                </c:pt>
                <c:pt idx="5">
                  <c:v>0.42099999999999999</c:v>
                </c:pt>
                <c:pt idx="6">
                  <c:v>0.21199999999999999</c:v>
                </c:pt>
                <c:pt idx="7">
                  <c:v>0.161</c:v>
                </c:pt>
              </c:numCache>
            </c:numRef>
          </c:val>
          <c:extLst>
            <c:ext xmlns:c16="http://schemas.microsoft.com/office/drawing/2014/chart" uri="{C3380CC4-5D6E-409C-BE32-E72D297353CC}">
              <c16:uniqueId val="{00000001-0C59-4EF7-BFF5-E717C3172441}"/>
            </c:ext>
          </c:extLst>
        </c:ser>
        <c:dLbls>
          <c:showLegendKey val="0"/>
          <c:showVal val="0"/>
          <c:showCatName val="0"/>
          <c:showSerName val="0"/>
          <c:showPercent val="0"/>
          <c:showBubbleSize val="0"/>
        </c:dLbls>
        <c:gapWidth val="219"/>
        <c:overlap val="-27"/>
        <c:axId val="386353640"/>
        <c:axId val="386347080"/>
      </c:barChart>
      <c:lineChart>
        <c:grouping val="standard"/>
        <c:varyColors val="0"/>
        <c:ser>
          <c:idx val="2"/>
          <c:order val="2"/>
          <c:tx>
            <c:strRef>
              <c:f>III_Virs_ES_ārvalstnieki_Din!$D$61</c:f>
              <c:strCache>
                <c:ptCount val="1"/>
                <c:pt idx="0">
                  <c:v>Vietējie (% no kopējā līgumu skaita)</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III_Virs_ES_ārvalstnieki_Din!$A$62:$A$68</c:f>
              <c:strCache>
                <c:ptCount val="7"/>
                <c:pt idx="0">
                  <c:v>2010.gads</c:v>
                </c:pt>
                <c:pt idx="1">
                  <c:v>2011.gads</c:v>
                </c:pt>
                <c:pt idx="2">
                  <c:v>2012.gads</c:v>
                </c:pt>
                <c:pt idx="3">
                  <c:v>2013.gads</c:v>
                </c:pt>
                <c:pt idx="4">
                  <c:v>2014.gads</c:v>
                </c:pt>
                <c:pt idx="5">
                  <c:v>2015.gads</c:v>
                </c:pt>
                <c:pt idx="6">
                  <c:v>2016.gads</c:v>
                </c:pt>
              </c:strCache>
            </c:strRef>
          </c:cat>
          <c:val>
            <c:numRef>
              <c:f>III_Virs_ES_ārvalstnieki_Din!$D$62:$D$69</c:f>
              <c:numCache>
                <c:formatCode>0.0%</c:formatCode>
                <c:ptCount val="8"/>
                <c:pt idx="0">
                  <c:v>0.76100000000000001</c:v>
                </c:pt>
                <c:pt idx="1">
                  <c:v>0.873</c:v>
                </c:pt>
                <c:pt idx="2">
                  <c:v>0.81799999999999995</c:v>
                </c:pt>
                <c:pt idx="3">
                  <c:v>0.90800000000000003</c:v>
                </c:pt>
                <c:pt idx="4">
                  <c:v>0.79600000000000004</c:v>
                </c:pt>
                <c:pt idx="5">
                  <c:v>0.84599999999999997</c:v>
                </c:pt>
                <c:pt idx="6">
                  <c:v>0.79500000000000004</c:v>
                </c:pt>
                <c:pt idx="7">
                  <c:v>0.92600000000000005</c:v>
                </c:pt>
              </c:numCache>
            </c:numRef>
          </c:val>
          <c:smooth val="0"/>
          <c:extLst>
            <c:ext xmlns:c16="http://schemas.microsoft.com/office/drawing/2014/chart" uri="{C3380CC4-5D6E-409C-BE32-E72D297353CC}">
              <c16:uniqueId val="{00000002-0C59-4EF7-BFF5-E717C3172441}"/>
            </c:ext>
          </c:extLst>
        </c:ser>
        <c:ser>
          <c:idx val="3"/>
          <c:order val="3"/>
          <c:tx>
            <c:strRef>
              <c:f>III_Virs_ES_ārvalstnieki_Din!$E$61</c:f>
              <c:strCache>
                <c:ptCount val="1"/>
                <c:pt idx="0">
                  <c:v>Citas valstis (% no kopējās līgumu skaita)</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III_Virs_ES_ārvalstnieki_Din!$A$62:$A$68</c:f>
              <c:strCache>
                <c:ptCount val="7"/>
                <c:pt idx="0">
                  <c:v>2010.gads</c:v>
                </c:pt>
                <c:pt idx="1">
                  <c:v>2011.gads</c:v>
                </c:pt>
                <c:pt idx="2">
                  <c:v>2012.gads</c:v>
                </c:pt>
                <c:pt idx="3">
                  <c:v>2013.gads</c:v>
                </c:pt>
                <c:pt idx="4">
                  <c:v>2014.gads</c:v>
                </c:pt>
                <c:pt idx="5">
                  <c:v>2015.gads</c:v>
                </c:pt>
                <c:pt idx="6">
                  <c:v>2016.gads</c:v>
                </c:pt>
              </c:strCache>
            </c:strRef>
          </c:cat>
          <c:val>
            <c:numRef>
              <c:f>III_Virs_ES_ārvalstnieki_Din!$E$62:$E$69</c:f>
              <c:numCache>
                <c:formatCode>0.0%</c:formatCode>
                <c:ptCount val="8"/>
                <c:pt idx="0">
                  <c:v>0.23899999999999999</c:v>
                </c:pt>
                <c:pt idx="1">
                  <c:v>0.127</c:v>
                </c:pt>
                <c:pt idx="2">
                  <c:v>0.182</c:v>
                </c:pt>
                <c:pt idx="3">
                  <c:v>9.1999999999999998E-2</c:v>
                </c:pt>
                <c:pt idx="4">
                  <c:v>0.20399999999999999</c:v>
                </c:pt>
                <c:pt idx="5">
                  <c:v>0.154</c:v>
                </c:pt>
                <c:pt idx="6">
                  <c:v>0.20600000000000002</c:v>
                </c:pt>
                <c:pt idx="7">
                  <c:v>7.3999999999999996E-2</c:v>
                </c:pt>
              </c:numCache>
            </c:numRef>
          </c:val>
          <c:smooth val="0"/>
          <c:extLst>
            <c:ext xmlns:c16="http://schemas.microsoft.com/office/drawing/2014/chart" uri="{C3380CC4-5D6E-409C-BE32-E72D297353CC}">
              <c16:uniqueId val="{00000003-0C59-4EF7-BFF5-E717C3172441}"/>
            </c:ext>
          </c:extLst>
        </c:ser>
        <c:dLbls>
          <c:showLegendKey val="0"/>
          <c:showVal val="0"/>
          <c:showCatName val="0"/>
          <c:showSerName val="0"/>
          <c:showPercent val="0"/>
          <c:showBubbleSize val="0"/>
        </c:dLbls>
        <c:marker val="1"/>
        <c:smooth val="0"/>
        <c:axId val="386357904"/>
        <c:axId val="386356920"/>
      </c:lineChart>
      <c:catAx>
        <c:axId val="38635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47080"/>
        <c:crosses val="autoZero"/>
        <c:auto val="1"/>
        <c:lblAlgn val="ctr"/>
        <c:lblOffset val="100"/>
        <c:noMultiLvlLbl val="0"/>
      </c:catAx>
      <c:valAx>
        <c:axId val="386347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53640"/>
        <c:crosses val="autoZero"/>
        <c:crossBetween val="between"/>
      </c:valAx>
      <c:valAx>
        <c:axId val="386356920"/>
        <c:scaling>
          <c:orientation val="minMax"/>
        </c:scaling>
        <c:delete val="1"/>
        <c:axPos val="r"/>
        <c:numFmt formatCode="0.0%" sourceLinked="1"/>
        <c:majorTickMark val="out"/>
        <c:minorTickMark val="none"/>
        <c:tickLblPos val="nextTo"/>
        <c:crossAx val="386357904"/>
        <c:crosses val="max"/>
        <c:crossBetween val="between"/>
      </c:valAx>
      <c:catAx>
        <c:axId val="386357904"/>
        <c:scaling>
          <c:orientation val="minMax"/>
        </c:scaling>
        <c:delete val="1"/>
        <c:axPos val="b"/>
        <c:numFmt formatCode="General" sourceLinked="1"/>
        <c:majorTickMark val="out"/>
        <c:minorTickMark val="none"/>
        <c:tickLblPos val="nextTo"/>
        <c:crossAx val="3863569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9795052214216E-2"/>
          <c:y val="4.7619047619047616E-2"/>
          <c:w val="0.86679159785877824"/>
          <c:h val="0.78250228232340524"/>
        </c:manualLayout>
      </c:layout>
      <c:barChart>
        <c:barDir val="col"/>
        <c:grouping val="clustered"/>
        <c:varyColors val="0"/>
        <c:ser>
          <c:idx val="0"/>
          <c:order val="0"/>
          <c:tx>
            <c:strRef>
              <c:f>III_Virs_ES_ārvalstnieki_Din!$B$90</c:f>
              <c:strCache>
                <c:ptCount val="1"/>
                <c:pt idx="0">
                  <c:v>Līgumu skaits</c:v>
                </c:pt>
              </c:strCache>
            </c:strRef>
          </c:tx>
          <c:spPr>
            <a:solidFill>
              <a:schemeClr val="accent1"/>
            </a:solidFill>
            <a:ln>
              <a:noFill/>
            </a:ln>
            <a:effectLst/>
          </c:spPr>
          <c:invertIfNegative val="0"/>
          <c:dLbls>
            <c:dLbl>
              <c:idx val="0"/>
              <c:layout>
                <c:manualLayout>
                  <c:x val="0"/>
                  <c:y val="7.035979391746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FA-4B75-A08C-33A398CD09BB}"/>
                </c:ext>
              </c:extLst>
            </c:dLbl>
            <c:dLbl>
              <c:idx val="1"/>
              <c:layout>
                <c:manualLayout>
                  <c:x val="-2.0263424518743669E-3"/>
                  <c:y val="1.86310459135397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FA-4B75-A08C-33A398CD09BB}"/>
                </c:ext>
              </c:extLst>
            </c:dLbl>
            <c:dLbl>
              <c:idx val="2"/>
              <c:layout>
                <c:manualLayout>
                  <c:x val="-1.4184397163120567E-2"/>
                  <c:y val="1.73160173160172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III_Virs_ES_ārvalstnieki_Din!$A$91:$A$93</c:f>
              <c:strCache>
                <c:ptCount val="3"/>
                <c:pt idx="0">
                  <c:v>Latvija</c:v>
                </c:pt>
                <c:pt idx="1">
                  <c:v>Citas Eiropas Savienības valstis</c:v>
                </c:pt>
                <c:pt idx="2">
                  <c:v>Citas valstis</c:v>
                </c:pt>
              </c:strCache>
            </c:strRef>
          </c:cat>
          <c:val>
            <c:numRef>
              <c:f>III_Virs_ES_ārvalstnieki_Din!$B$91:$B$93</c:f>
              <c:numCache>
                <c:formatCode>General</c:formatCode>
                <c:ptCount val="3"/>
                <c:pt idx="0">
                  <c:v>250</c:v>
                </c:pt>
                <c:pt idx="1">
                  <c:v>17</c:v>
                </c:pt>
                <c:pt idx="2">
                  <c:v>3</c:v>
                </c:pt>
              </c:numCache>
            </c:numRef>
          </c:val>
          <c:extLst>
            <c:ext xmlns:c16="http://schemas.microsoft.com/office/drawing/2014/chart" uri="{C3380CC4-5D6E-409C-BE32-E72D297353CC}">
              <c16:uniqueId val="{00000000-10FA-4B75-A08C-33A398CD09BB}"/>
            </c:ext>
          </c:extLst>
        </c:ser>
        <c:ser>
          <c:idx val="2"/>
          <c:order val="2"/>
          <c:tx>
            <c:strRef>
              <c:f>III_Virs_ES_ārvalstnieki_Din!$D$90</c:f>
              <c:strCache>
                <c:ptCount val="1"/>
                <c:pt idx="0">
                  <c:v>Noslēgto līgumu summa, milj.EUR</c:v>
                </c:pt>
              </c:strCache>
            </c:strRef>
          </c:tx>
          <c:spPr>
            <a:solidFill>
              <a:schemeClr val="accent3"/>
            </a:solidFill>
            <a:ln>
              <a:noFill/>
            </a:ln>
            <a:effectLst/>
          </c:spPr>
          <c:invertIfNegative val="0"/>
          <c:dLbls>
            <c:dLbl>
              <c:idx val="0"/>
              <c:layout>
                <c:manualLayout>
                  <c:x val="2.4316109422492363E-2"/>
                  <c:y val="3.37552652898063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53-4EAA-93FE-C5F88D4DCD0F}"/>
                </c:ext>
              </c:extLst>
            </c:dLbl>
            <c:dLbl>
              <c:idx val="2"/>
              <c:layout>
                <c:manualLayout>
                  <c:x val="1.0131712259371834E-2"/>
                  <c:y val="1.73160173160173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FA-4B75-A08C-33A398CD09BB}"/>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III_Virs_ES_ārvalstnieki_Din!$A$91:$A$93</c:f>
              <c:strCache>
                <c:ptCount val="3"/>
                <c:pt idx="0">
                  <c:v>Latvija</c:v>
                </c:pt>
                <c:pt idx="1">
                  <c:v>Citas Eiropas Savienības valstis</c:v>
                </c:pt>
                <c:pt idx="2">
                  <c:v>Citas valstis</c:v>
                </c:pt>
              </c:strCache>
            </c:strRef>
          </c:cat>
          <c:val>
            <c:numRef>
              <c:f>III_Virs_ES_ārvalstnieki_Din!$D$91:$D$93</c:f>
              <c:numCache>
                <c:formatCode>General</c:formatCode>
                <c:ptCount val="3"/>
                <c:pt idx="0">
                  <c:v>232.3</c:v>
                </c:pt>
                <c:pt idx="1">
                  <c:v>38.200000000000003</c:v>
                </c:pt>
                <c:pt idx="2">
                  <c:v>6.3</c:v>
                </c:pt>
              </c:numCache>
            </c:numRef>
          </c:val>
          <c:extLst>
            <c:ext xmlns:c16="http://schemas.microsoft.com/office/drawing/2014/chart" uri="{C3380CC4-5D6E-409C-BE32-E72D297353CC}">
              <c16:uniqueId val="{00000002-10FA-4B75-A08C-33A398CD09BB}"/>
            </c:ext>
          </c:extLst>
        </c:ser>
        <c:dLbls>
          <c:showLegendKey val="0"/>
          <c:showVal val="0"/>
          <c:showCatName val="0"/>
          <c:showSerName val="0"/>
          <c:showPercent val="0"/>
          <c:showBubbleSize val="0"/>
        </c:dLbls>
        <c:gapWidth val="219"/>
        <c:axId val="499021856"/>
        <c:axId val="499021528"/>
      </c:barChart>
      <c:lineChart>
        <c:grouping val="standard"/>
        <c:varyColors val="0"/>
        <c:ser>
          <c:idx val="1"/>
          <c:order val="1"/>
          <c:tx>
            <c:strRef>
              <c:f>III_Virs_ES_ārvalstnieki_Din!$C$90</c:f>
              <c:strCache>
                <c:ptCount val="1"/>
                <c:pt idx="0">
                  <c:v>Līgumu skaita īpatsvars (%)</c:v>
                </c:pt>
              </c:strCache>
            </c:strRef>
          </c:tx>
          <c:spPr>
            <a:ln w="28575" cap="rnd">
              <a:solidFill>
                <a:schemeClr val="accent2"/>
              </a:solidFill>
              <a:round/>
            </a:ln>
            <a:effectLst/>
          </c:spPr>
          <c:marker>
            <c:symbol val="none"/>
          </c:marker>
          <c:dLbls>
            <c:dLbl>
              <c:idx val="0"/>
              <c:layout>
                <c:manualLayout>
                  <c:x val="1.6859169199594695E-2"/>
                  <c:y val="-5.840917612571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FA-4B75-A08C-33A398CD09BB}"/>
                </c:ext>
              </c:extLst>
            </c:dLbl>
            <c:dLbl>
              <c:idx val="1"/>
              <c:layout>
                <c:manualLayout>
                  <c:x val="1.8885511651469098E-2"/>
                  <c:y val="-0.1643655498546663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FA-4B75-A08C-33A398CD09BB}"/>
                </c:ext>
              </c:extLst>
            </c:dLbl>
            <c:dLbl>
              <c:idx val="2"/>
              <c:layout>
                <c:manualLayout>
                  <c:x val="-4.5390070921985819E-2"/>
                  <c:y val="-0.144989262705798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FA-4B75-A08C-33A398CD09BB}"/>
                </c:ext>
              </c:extLst>
            </c:dLbl>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III_Virs_ES_ārvalstnieki_Din!$A$91:$A$93</c:f>
              <c:strCache>
                <c:ptCount val="3"/>
                <c:pt idx="0">
                  <c:v>Latvija</c:v>
                </c:pt>
                <c:pt idx="1">
                  <c:v>Citas Eiropas Savienības valstis</c:v>
                </c:pt>
                <c:pt idx="2">
                  <c:v>Citas valstis</c:v>
                </c:pt>
              </c:strCache>
            </c:strRef>
          </c:cat>
          <c:val>
            <c:numRef>
              <c:f>III_Virs_ES_ārvalstnieki_Din!$C$91:$C$93</c:f>
              <c:numCache>
                <c:formatCode>0.0%</c:formatCode>
                <c:ptCount val="3"/>
                <c:pt idx="0">
                  <c:v>0.92600000000000005</c:v>
                </c:pt>
                <c:pt idx="1">
                  <c:v>6.3E-2</c:v>
                </c:pt>
                <c:pt idx="2">
                  <c:v>1.0999999999999999E-2</c:v>
                </c:pt>
              </c:numCache>
            </c:numRef>
          </c:val>
          <c:smooth val="0"/>
          <c:extLst>
            <c:ext xmlns:c16="http://schemas.microsoft.com/office/drawing/2014/chart" uri="{C3380CC4-5D6E-409C-BE32-E72D297353CC}">
              <c16:uniqueId val="{00000001-10FA-4B75-A08C-33A398CD09BB}"/>
            </c:ext>
          </c:extLst>
        </c:ser>
        <c:ser>
          <c:idx val="3"/>
          <c:order val="3"/>
          <c:tx>
            <c:strRef>
              <c:f>III_Virs_ES_ārvalstnieki_Din!$E$90</c:f>
              <c:strCache>
                <c:ptCount val="1"/>
                <c:pt idx="0">
                  <c:v>Noslēgto līgumu summu īpatsvars (%)</c:v>
                </c:pt>
              </c:strCache>
            </c:strRef>
          </c:tx>
          <c:spPr>
            <a:ln w="28575" cap="rnd">
              <a:solidFill>
                <a:schemeClr val="accent4"/>
              </a:solidFill>
              <a:round/>
            </a:ln>
            <a:effectLst/>
          </c:spPr>
          <c:marker>
            <c:symbol val="none"/>
          </c:marker>
          <c:dPt>
            <c:idx val="1"/>
            <c:marker>
              <c:symbol val="none"/>
            </c:marker>
            <c:bubble3D val="0"/>
            <c:spPr>
              <a:ln w="28575" cap="rnd">
                <a:solidFill>
                  <a:schemeClr val="accent4"/>
                </a:solidFill>
                <a:round/>
              </a:ln>
              <a:effectLst/>
            </c:spPr>
            <c:extLst>
              <c:ext xmlns:c16="http://schemas.microsoft.com/office/drawing/2014/chart" uri="{C3380CC4-5D6E-409C-BE32-E72D297353CC}">
                <c16:uniqueId val="{00000007-10FA-4B75-A08C-33A398CD09BB}"/>
              </c:ext>
            </c:extLst>
          </c:dPt>
          <c:dPt>
            <c:idx val="2"/>
            <c:marker>
              <c:symbol val="none"/>
            </c:marker>
            <c:bubble3D val="0"/>
            <c:spPr>
              <a:ln w="28575" cap="rnd">
                <a:solidFill>
                  <a:schemeClr val="accent4"/>
                </a:solidFill>
                <a:round/>
              </a:ln>
              <a:effectLst/>
            </c:spPr>
            <c:extLst>
              <c:ext xmlns:c16="http://schemas.microsoft.com/office/drawing/2014/chart" uri="{C3380CC4-5D6E-409C-BE32-E72D297353CC}">
                <c16:uniqueId val="{0000000B-10FA-4B75-A08C-33A398CD09BB}"/>
              </c:ext>
            </c:extLst>
          </c:dPt>
          <c:dLbls>
            <c:dLbl>
              <c:idx val="0"/>
              <c:layout>
                <c:manualLayout>
                  <c:x val="-0.1148530901722391"/>
                  <c:y val="-2.1915672436779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53-4EAA-93FE-C5F88D4DCD0F}"/>
                </c:ext>
              </c:extLst>
            </c:dLbl>
            <c:dLbl>
              <c:idx val="1"/>
              <c:layout>
                <c:manualLayout>
                  <c:x val="-5.2036474164133741E-2"/>
                  <c:y val="-6.2738180454715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FA-4B75-A08C-33A398CD09BB}"/>
                </c:ext>
              </c:extLst>
            </c:dLbl>
            <c:dLbl>
              <c:idx val="2"/>
              <c:layout>
                <c:manualLayout>
                  <c:x val="4.9848024316109421E-2"/>
                  <c:y val="-8.8712206428741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FA-4B75-A08C-33A398CD09BB}"/>
                </c:ext>
              </c:extLst>
            </c:dLbl>
            <c:spPr>
              <a:solidFill>
                <a:schemeClr val="accent4">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III_Virs_ES_ārvalstnieki_Din!$A$91:$A$93</c:f>
              <c:strCache>
                <c:ptCount val="3"/>
                <c:pt idx="0">
                  <c:v>Latvija</c:v>
                </c:pt>
                <c:pt idx="1">
                  <c:v>Citas Eiropas Savienības valstis</c:v>
                </c:pt>
                <c:pt idx="2">
                  <c:v>Citas valstis</c:v>
                </c:pt>
              </c:strCache>
            </c:strRef>
          </c:cat>
          <c:val>
            <c:numRef>
              <c:f>III_Virs_ES_ārvalstnieki_Din!$E$91:$E$93</c:f>
              <c:numCache>
                <c:formatCode>0.0%</c:formatCode>
                <c:ptCount val="3"/>
                <c:pt idx="0">
                  <c:v>0.83899999999999997</c:v>
                </c:pt>
                <c:pt idx="1">
                  <c:v>0.13800000000000001</c:v>
                </c:pt>
                <c:pt idx="2">
                  <c:v>2.3E-2</c:v>
                </c:pt>
              </c:numCache>
            </c:numRef>
          </c:val>
          <c:smooth val="0"/>
          <c:extLst>
            <c:ext xmlns:c16="http://schemas.microsoft.com/office/drawing/2014/chart" uri="{C3380CC4-5D6E-409C-BE32-E72D297353CC}">
              <c16:uniqueId val="{00000004-10FA-4B75-A08C-33A398CD09BB}"/>
            </c:ext>
          </c:extLst>
        </c:ser>
        <c:dLbls>
          <c:showLegendKey val="0"/>
          <c:showVal val="0"/>
          <c:showCatName val="0"/>
          <c:showSerName val="0"/>
          <c:showPercent val="0"/>
          <c:showBubbleSize val="0"/>
        </c:dLbls>
        <c:marker val="1"/>
        <c:smooth val="0"/>
        <c:axId val="499025792"/>
        <c:axId val="499020216"/>
      </c:lineChart>
      <c:catAx>
        <c:axId val="49902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528"/>
        <c:crosses val="autoZero"/>
        <c:auto val="1"/>
        <c:lblAlgn val="ctr"/>
        <c:lblOffset val="100"/>
        <c:noMultiLvlLbl val="0"/>
      </c:catAx>
      <c:valAx>
        <c:axId val="499021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856"/>
        <c:crosses val="autoZero"/>
        <c:crossBetween val="between"/>
      </c:valAx>
      <c:valAx>
        <c:axId val="499020216"/>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5792"/>
        <c:crosses val="max"/>
        <c:crossBetween val="between"/>
      </c:valAx>
      <c:catAx>
        <c:axId val="499025792"/>
        <c:scaling>
          <c:orientation val="minMax"/>
        </c:scaling>
        <c:delete val="1"/>
        <c:axPos val="b"/>
        <c:numFmt formatCode="General" sourceLinked="1"/>
        <c:majorTickMark val="none"/>
        <c:minorTickMark val="none"/>
        <c:tickLblPos val="nextTo"/>
        <c:crossAx val="499020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III_Virs_ES_ārvalstnieki_Din!$A$35:$B$48</c:f>
              <c:multiLvlStrCache>
                <c:ptCount val="14"/>
                <c:lvl>
                  <c:pt idx="0">
                    <c:v>45252124-3</c:v>
                  </c:pt>
                  <c:pt idx="1">
                    <c:v>72250000-2</c:v>
                  </c:pt>
                  <c:pt idx="2">
                    <c:v>72200000-7</c:v>
                  </c:pt>
                  <c:pt idx="3">
                    <c:v>34144000-8</c:v>
                  </c:pt>
                  <c:pt idx="4">
                    <c:v>76000000-3</c:v>
                  </c:pt>
                  <c:pt idx="5">
                    <c:v>42100000-0</c:v>
                  </c:pt>
                  <c:pt idx="6">
                    <c:v>31300000-9</c:v>
                  </c:pt>
                  <c:pt idx="7">
                    <c:v>31174000-6</c:v>
                  </c:pt>
                  <c:pt idx="8">
                    <c:v>31174000-6</c:v>
                  </c:pt>
                  <c:pt idx="9">
                    <c:v>90910000-9</c:v>
                  </c:pt>
                  <c:pt idx="10">
                    <c:v>24313123-9</c:v>
                  </c:pt>
                  <c:pt idx="11">
                    <c:v>24313125-3</c:v>
                  </c:pt>
                  <c:pt idx="12">
                    <c:v>31174000-6</c:v>
                  </c:pt>
                  <c:pt idx="13">
                    <c:v>31174000-6</c:v>
                  </c:pt>
                </c:lvl>
                <c:lvl>
                  <c:pt idx="0">
                    <c:v>Dānija</c:v>
                  </c:pt>
                  <c:pt idx="1">
                    <c:v>Somija</c:v>
                  </c:pt>
                  <c:pt idx="3">
                    <c:v>Lietuva</c:v>
                  </c:pt>
                  <c:pt idx="5">
                    <c:v>Francija</c:v>
                  </c:pt>
                  <c:pt idx="6">
                    <c:v>Balt-krievija</c:v>
                  </c:pt>
                  <c:pt idx="7">
                    <c:v>Hor-vātija</c:v>
                  </c:pt>
                  <c:pt idx="8">
                    <c:v>Bul-gārija</c:v>
                  </c:pt>
                  <c:pt idx="9">
                    <c:v>Igaunija</c:v>
                  </c:pt>
                  <c:pt idx="12">
                    <c:v>Turcija</c:v>
                  </c:pt>
                </c:lvl>
              </c:multiLvlStrCache>
            </c:multiLvlStrRef>
          </c:cat>
          <c:val>
            <c:numRef>
              <c:f>III_Virs_ES_ārvalstnieki_Din!$C$35:$C$48</c:f>
              <c:numCache>
                <c:formatCode>0.00</c:formatCode>
                <c:ptCount val="14"/>
                <c:pt idx="0">
                  <c:v>18</c:v>
                </c:pt>
                <c:pt idx="1">
                  <c:v>1.68</c:v>
                </c:pt>
                <c:pt idx="2">
                  <c:v>0.75</c:v>
                </c:pt>
                <c:pt idx="3" formatCode="#,##0.00">
                  <c:v>0.98</c:v>
                </c:pt>
                <c:pt idx="4" formatCode="#,##0.00">
                  <c:v>0.2</c:v>
                </c:pt>
                <c:pt idx="5" formatCode="#,##0.00">
                  <c:v>7.96</c:v>
                </c:pt>
                <c:pt idx="6" formatCode="#,##0.00">
                  <c:v>4.0999999999999996</c:v>
                </c:pt>
                <c:pt idx="7" formatCode="#,##0.00">
                  <c:v>0.97</c:v>
                </c:pt>
                <c:pt idx="8" formatCode="#,##0.00">
                  <c:v>0.55000000000000004</c:v>
                </c:pt>
                <c:pt idx="9" formatCode="#,##0.00">
                  <c:v>4.7</c:v>
                </c:pt>
                <c:pt idx="10" formatCode="#,##0.00">
                  <c:v>0.64</c:v>
                </c:pt>
                <c:pt idx="11" formatCode="#,##0.00">
                  <c:v>1.33</c:v>
                </c:pt>
                <c:pt idx="12" formatCode="#,##0.00">
                  <c:v>2.25</c:v>
                </c:pt>
                <c:pt idx="13" formatCode="#,##0.00">
                  <c:v>0.43</c:v>
                </c:pt>
              </c:numCache>
            </c:numRef>
          </c:val>
          <c:extLst>
            <c:ext xmlns:c16="http://schemas.microsoft.com/office/drawing/2014/chart" uri="{C3380CC4-5D6E-409C-BE32-E72D297353CC}">
              <c16:uniqueId val="{00000000-5516-49D6-B157-F20D81690DAA}"/>
            </c:ext>
          </c:extLst>
        </c:ser>
        <c:dLbls>
          <c:showLegendKey val="0"/>
          <c:showVal val="0"/>
          <c:showCatName val="0"/>
          <c:showSerName val="0"/>
          <c:showPercent val="0"/>
          <c:showBubbleSize val="0"/>
        </c:dLbls>
        <c:gapWidth val="115"/>
        <c:overlap val="-20"/>
        <c:axId val="493280400"/>
        <c:axId val="493276792"/>
      </c:barChart>
      <c:catAx>
        <c:axId val="49328040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lv-LV"/>
          </a:p>
        </c:txPr>
        <c:crossAx val="493276792"/>
        <c:crosses val="autoZero"/>
        <c:auto val="1"/>
        <c:lblAlgn val="ctr"/>
        <c:lblOffset val="100"/>
        <c:noMultiLvlLbl val="0"/>
      </c:catAx>
      <c:valAx>
        <c:axId val="4932767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280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D10-4558-A2F8-2178A7F1D1E2}"/>
              </c:ext>
            </c:extLst>
          </c:dPt>
          <c:dLbls>
            <c:dLbl>
              <c:idx val="0"/>
              <c:layout>
                <c:manualLayout>
                  <c:x val="5.8919803600654581E-2"/>
                  <c:y val="-3.37552742616033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10-4558-A2F8-2178A7F1D1E2}"/>
                </c:ext>
              </c:extLst>
            </c:dLbl>
            <c:dLbl>
              <c:idx val="1"/>
              <c:layout>
                <c:manualLayout>
                  <c:x val="2.6186579378068741E-2"/>
                  <c:y val="5.063291139240493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10-4558-A2F8-2178A7F1D1E2}"/>
                </c:ext>
              </c:extLst>
            </c:dLbl>
            <c:dLbl>
              <c:idx val="2"/>
              <c:layout>
                <c:manualLayout>
                  <c:x val="6.5466448445171853E-3"/>
                  <c:y val="0.12151898734177215"/>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D10-4558-A2F8-2178A7F1D1E2}"/>
                </c:ext>
              </c:extLst>
            </c:dLbl>
            <c:dLbl>
              <c:idx val="3"/>
              <c:layout>
                <c:manualLayout>
                  <c:x val="-1.9639934533551555E-2"/>
                  <c:y val="-1.012658227848101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D10-4558-A2F8-2178A7F1D1E2}"/>
                </c:ext>
              </c:extLst>
            </c:dLbl>
            <c:dLbl>
              <c:idx val="4"/>
              <c:layout>
                <c:manualLayout>
                  <c:x val="-0.12345679012345678"/>
                  <c:y val="-1.173020527859237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D10-4558-A2F8-2178A7F1D1E2}"/>
                </c:ext>
              </c:extLst>
            </c:dLbl>
            <c:dLbl>
              <c:idx val="5"/>
              <c:layout>
                <c:manualLayout>
                  <c:x val="-1.0288065843621399E-2"/>
                  <c:y val="-2.34604105571847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D10-4558-A2F8-2178A7F1D1E2}"/>
                </c:ext>
              </c:extLst>
            </c:dLbl>
            <c:dLbl>
              <c:idx val="6"/>
              <c:layout>
                <c:manualLayout>
                  <c:x val="3.7097654118930713E-2"/>
                  <c:y val="-1.68776371308016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D10-4558-A2F8-2178A7F1D1E2}"/>
                </c:ext>
              </c:extLst>
            </c:dLbl>
            <c:dLbl>
              <c:idx val="7"/>
              <c:layout>
                <c:manualLayout>
                  <c:x val="8.5106382978723402E-2"/>
                  <c:y val="-1.68776371308016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IV_Zem_Din!$B$4:$B$11</c:f>
              <c:numCache>
                <c:formatCode>#,##0</c:formatCode>
                <c:ptCount val="8"/>
                <c:pt idx="0">
                  <c:v>191443069</c:v>
                </c:pt>
                <c:pt idx="1">
                  <c:v>154214890</c:v>
                </c:pt>
                <c:pt idx="2">
                  <c:v>95820411</c:v>
                </c:pt>
                <c:pt idx="3">
                  <c:v>81632020</c:v>
                </c:pt>
                <c:pt idx="4">
                  <c:v>75865405</c:v>
                </c:pt>
                <c:pt idx="5">
                  <c:v>8162215</c:v>
                </c:pt>
                <c:pt idx="6">
                  <c:v>29864049</c:v>
                </c:pt>
                <c:pt idx="7">
                  <c:v>9425572</c:v>
                </c:pt>
              </c:numCache>
            </c:numRef>
          </c:val>
          <c:extLst>
            <c:ext xmlns:c16="http://schemas.microsoft.com/office/drawing/2014/chart" uri="{C3380CC4-5D6E-409C-BE32-E72D297353CC}">
              <c16:uniqueId val="{00000000-DD10-4558-A2F8-2178A7F1D1E2}"/>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DD10-4558-A2F8-2178A7F1D1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A-DD10-4558-A2F8-2178A7F1D1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B-DD10-4558-A2F8-2178A7F1D1E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C-DD10-4558-A2F8-2178A7F1D1E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D-DD10-4558-A2F8-2178A7F1D1E2}"/>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E-DD10-4558-A2F8-2178A7F1D1E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F-DD10-4558-A2F8-2178A7F1D1E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0-DD10-4558-A2F8-2178A7F1D1E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1-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IV_Zem_Din!$C$4:$C$11</c:f>
              <c:numCache>
                <c:formatCode>0.0%</c:formatCode>
                <c:ptCount val="8"/>
                <c:pt idx="0">
                  <c:v>0.29615545471632232</c:v>
                </c:pt>
                <c:pt idx="1">
                  <c:v>0.23856481778391059</c:v>
                </c:pt>
                <c:pt idx="2">
                  <c:v>0.14823068570223291</c:v>
                </c:pt>
                <c:pt idx="3">
                  <c:v>0.1262817616160965</c:v>
                </c:pt>
                <c:pt idx="4">
                  <c:v>0.11736101825139959</c:v>
                </c:pt>
                <c:pt idx="5">
                  <c:v>1.2626649308559647E-2</c:v>
                </c:pt>
                <c:pt idx="6">
                  <c:v>4.619859604980283E-2</c:v>
                </c:pt>
                <c:pt idx="7">
                  <c:v>1.45810165716756E-2</c:v>
                </c:pt>
              </c:numCache>
            </c:numRef>
          </c:val>
          <c:extLst>
            <c:ext xmlns:c16="http://schemas.microsoft.com/office/drawing/2014/chart" uri="{C3380CC4-5D6E-409C-BE32-E72D297353CC}">
              <c16:uniqueId val="{00000001-DD10-4558-A2F8-2178A7F1D1E2}"/>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IV_Zem_Din!$A$22</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IV_Zem_Din!$B$21:$I$21</c:f>
              <c:strCache>
                <c:ptCount val="8"/>
                <c:pt idx="0">
                  <c:v>2010.gads</c:v>
                </c:pt>
                <c:pt idx="1">
                  <c:v>2011. gads</c:v>
                </c:pt>
                <c:pt idx="2">
                  <c:v>2012. gads</c:v>
                </c:pt>
                <c:pt idx="3">
                  <c:v>2013. gads</c:v>
                </c:pt>
                <c:pt idx="4">
                  <c:v>2014. gads</c:v>
                </c:pt>
                <c:pt idx="5">
                  <c:v>2015. gads</c:v>
                </c:pt>
                <c:pt idx="6">
                  <c:v>2016. gads</c:v>
                </c:pt>
                <c:pt idx="7">
                  <c:v>2017. gads</c:v>
                </c:pt>
              </c:strCache>
            </c:strRef>
          </c:cat>
          <c:val>
            <c:numRef>
              <c:f>IV_Zem_Din!$B$22:$I$22</c:f>
              <c:numCache>
                <c:formatCode>0.0%</c:formatCode>
                <c:ptCount val="8"/>
                <c:pt idx="0">
                  <c:v>0.39</c:v>
                </c:pt>
                <c:pt idx="1">
                  <c:v>0.45900000000000002</c:v>
                </c:pt>
                <c:pt idx="2">
                  <c:v>0.45400000000000001</c:v>
                </c:pt>
                <c:pt idx="3">
                  <c:v>0.46700000000000003</c:v>
                </c:pt>
                <c:pt idx="4">
                  <c:v>0.34599999999999997</c:v>
                </c:pt>
                <c:pt idx="5">
                  <c:v>0.29399999999999998</c:v>
                </c:pt>
                <c:pt idx="6">
                  <c:v>0.20599999999999999</c:v>
                </c:pt>
                <c:pt idx="7" formatCode="General">
                  <c:v>31.9</c:v>
                </c:pt>
              </c:numCache>
            </c:numRef>
          </c:val>
          <c:extLst>
            <c:ext xmlns:c16="http://schemas.microsoft.com/office/drawing/2014/chart" uri="{C3380CC4-5D6E-409C-BE32-E72D297353CC}">
              <c16:uniqueId val="{00000000-9EE1-4D98-B426-1014BF6D735E}"/>
            </c:ext>
          </c:extLst>
        </c:ser>
        <c:ser>
          <c:idx val="1"/>
          <c:order val="1"/>
          <c:tx>
            <c:strRef>
              <c:f>IV_Zem_Din!$A$23</c:f>
              <c:strCache>
                <c:ptCount val="1"/>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IV_Zem_Din!$B$21:$I$21</c:f>
              <c:strCache>
                <c:ptCount val="8"/>
                <c:pt idx="0">
                  <c:v>2010.gads</c:v>
                </c:pt>
                <c:pt idx="1">
                  <c:v>2011. gads</c:v>
                </c:pt>
                <c:pt idx="2">
                  <c:v>2012. gads</c:v>
                </c:pt>
                <c:pt idx="3">
                  <c:v>2013. gads</c:v>
                </c:pt>
                <c:pt idx="4">
                  <c:v>2014. gads</c:v>
                </c:pt>
                <c:pt idx="5">
                  <c:v>2015. gads</c:v>
                </c:pt>
                <c:pt idx="6">
                  <c:v>2016. gads</c:v>
                </c:pt>
                <c:pt idx="7">
                  <c:v>2017. gads</c:v>
                </c:pt>
              </c:strCache>
            </c:strRef>
          </c:cat>
          <c:val>
            <c:numRef>
              <c:f>IV_Zem_Din!$B$23:$I$23</c:f>
              <c:numCache>
                <c:formatCode>0.0%</c:formatCode>
                <c:ptCount val="8"/>
                <c:pt idx="0">
                  <c:v>0.30199999999999999</c:v>
                </c:pt>
                <c:pt idx="1">
                  <c:v>0.25</c:v>
                </c:pt>
                <c:pt idx="2">
                  <c:v>0.27200000000000002</c:v>
                </c:pt>
                <c:pt idx="3">
                  <c:v>0.29799999999999999</c:v>
                </c:pt>
                <c:pt idx="4">
                  <c:v>0.20799999999999999</c:v>
                </c:pt>
                <c:pt idx="5">
                  <c:v>0.20799999999999999</c:v>
                </c:pt>
                <c:pt idx="6">
                  <c:v>0.23200000000000001</c:v>
                </c:pt>
                <c:pt idx="7" formatCode="General">
                  <c:v>24.7</c:v>
                </c:pt>
              </c:numCache>
            </c:numRef>
          </c:val>
          <c:extLst>
            <c:ext xmlns:c16="http://schemas.microsoft.com/office/drawing/2014/chart" uri="{C3380CC4-5D6E-409C-BE32-E72D297353CC}">
              <c16:uniqueId val="{00000001-9EE1-4D98-B426-1014BF6D735E}"/>
            </c:ext>
          </c:extLst>
        </c:ser>
        <c:ser>
          <c:idx val="2"/>
          <c:order val="2"/>
          <c:tx>
            <c:strRef>
              <c:f>IV_Zem_Din!$A$24</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IV_Zem_Din!$B$21:$I$21</c:f>
              <c:strCache>
                <c:ptCount val="8"/>
                <c:pt idx="0">
                  <c:v>2010.gads</c:v>
                </c:pt>
                <c:pt idx="1">
                  <c:v>2011. gads</c:v>
                </c:pt>
                <c:pt idx="2">
                  <c:v>2012. gads</c:v>
                </c:pt>
                <c:pt idx="3">
                  <c:v>2013. gads</c:v>
                </c:pt>
                <c:pt idx="4">
                  <c:v>2014. gads</c:v>
                </c:pt>
                <c:pt idx="5">
                  <c:v>2015. gads</c:v>
                </c:pt>
                <c:pt idx="6">
                  <c:v>2016. gads</c:v>
                </c:pt>
                <c:pt idx="7">
                  <c:v>2017. gads</c:v>
                </c:pt>
              </c:strCache>
            </c:strRef>
          </c:cat>
          <c:val>
            <c:numRef>
              <c:f>IV_Zem_Din!$B$24:$I$24</c:f>
              <c:numCache>
                <c:formatCode>0.0%</c:formatCode>
                <c:ptCount val="8"/>
                <c:pt idx="0">
                  <c:v>0.308</c:v>
                </c:pt>
                <c:pt idx="1">
                  <c:v>0.29099999999999998</c:v>
                </c:pt>
                <c:pt idx="2">
                  <c:v>0.27400000000000002</c:v>
                </c:pt>
                <c:pt idx="3">
                  <c:v>0.23499999999999999</c:v>
                </c:pt>
                <c:pt idx="4">
                  <c:v>0.44700000000000001</c:v>
                </c:pt>
                <c:pt idx="5">
                  <c:v>0.498</c:v>
                </c:pt>
                <c:pt idx="6">
                  <c:v>0.56100000000000005</c:v>
                </c:pt>
                <c:pt idx="7" formatCode="General">
                  <c:v>43.4</c:v>
                </c:pt>
              </c:numCache>
            </c:numRef>
          </c:val>
          <c:extLst>
            <c:ext xmlns:c16="http://schemas.microsoft.com/office/drawing/2014/chart" uri="{C3380CC4-5D6E-409C-BE32-E72D297353CC}">
              <c16:uniqueId val="{00000002-9EE1-4D98-B426-1014BF6D735E}"/>
            </c:ext>
          </c:extLst>
        </c:ser>
        <c:dLbls>
          <c:dLblPos val="ctr"/>
          <c:showLegendKey val="0"/>
          <c:showVal val="1"/>
          <c:showCatName val="0"/>
          <c:showSerName val="0"/>
          <c:showPercent val="0"/>
          <c:showBubbleSize val="0"/>
        </c:dLbls>
        <c:gapWidth val="150"/>
        <c:overlap val="100"/>
        <c:axId val="493999440"/>
        <c:axId val="493994520"/>
      </c:barChart>
      <c:catAx>
        <c:axId val="49399944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4520"/>
        <c:crosses val="autoZero"/>
        <c:auto val="1"/>
        <c:lblAlgn val="ctr"/>
        <c:lblOffset val="100"/>
        <c:noMultiLvlLbl val="0"/>
      </c:catAx>
      <c:valAx>
        <c:axId val="493994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IV_Zem_Din!$B$39:$C$39</c:f>
              <c:strCache>
                <c:ptCount val="2"/>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3"/>
              <c:layout>
                <c:manualLayout>
                  <c:x val="-8.0808080808080843E-2"/>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IV_Zem_Din!$D$38:$J$38</c:f>
              <c:strCache>
                <c:ptCount val="7"/>
                <c:pt idx="0">
                  <c:v>2011. gads</c:v>
                </c:pt>
                <c:pt idx="1">
                  <c:v>2012. gads</c:v>
                </c:pt>
                <c:pt idx="2">
                  <c:v>2013. gads</c:v>
                </c:pt>
                <c:pt idx="3">
                  <c:v>2014. gads</c:v>
                </c:pt>
                <c:pt idx="4">
                  <c:v>2015. gads</c:v>
                </c:pt>
                <c:pt idx="5">
                  <c:v>2016. gads</c:v>
                </c:pt>
                <c:pt idx="6">
                  <c:v>2017. gads</c:v>
                </c:pt>
              </c:strCache>
            </c:strRef>
          </c:cat>
          <c:val>
            <c:numRef>
              <c:f>IV_Zem_Din!$D$39:$J$39</c:f>
              <c:numCache>
                <c:formatCode>0.0%</c:formatCode>
                <c:ptCount val="7"/>
                <c:pt idx="0">
                  <c:v>0.28799999999999998</c:v>
                </c:pt>
                <c:pt idx="1">
                  <c:v>7.6999999999999999E-2</c:v>
                </c:pt>
                <c:pt idx="2">
                  <c:v>5.2999999999999999E-2</c:v>
                </c:pt>
                <c:pt idx="3">
                  <c:v>-2.7E-2</c:v>
                </c:pt>
                <c:pt idx="4">
                  <c:v>2.8999999999999998E-3</c:v>
                </c:pt>
                <c:pt idx="5">
                  <c:v>-0.33531157270029671</c:v>
                </c:pt>
                <c:pt idx="6">
                  <c:v>0.31441326530612229</c:v>
                </c:pt>
              </c:numCache>
            </c:numRef>
          </c:val>
          <c:extLst>
            <c:ext xmlns:c16="http://schemas.microsoft.com/office/drawing/2014/chart" uri="{C3380CC4-5D6E-409C-BE32-E72D297353CC}">
              <c16:uniqueId val="{00000000-D20B-47D5-AE15-932776F25E26}"/>
            </c:ext>
          </c:extLst>
        </c:ser>
        <c:ser>
          <c:idx val="1"/>
          <c:order val="1"/>
          <c:tx>
            <c:strRef>
              <c:f>IV_Zem_Din!$B$40:$C$40</c:f>
              <c:strCache>
                <c:ptCount val="2"/>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1212121212121212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0B-47D5-AE15-932776F25E26}"/>
                </c:ext>
              </c:extLst>
            </c:dLbl>
            <c:dLbl>
              <c:idx val="3"/>
              <c:layout>
                <c:manualLayout>
                  <c:x val="-0.10666666666666667"/>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IV_Zem_Din!$D$38:$J$38</c:f>
              <c:strCache>
                <c:ptCount val="7"/>
                <c:pt idx="0">
                  <c:v>2011. gads</c:v>
                </c:pt>
                <c:pt idx="1">
                  <c:v>2012. gads</c:v>
                </c:pt>
                <c:pt idx="2">
                  <c:v>2013. gads</c:v>
                </c:pt>
                <c:pt idx="3">
                  <c:v>2014. gads</c:v>
                </c:pt>
                <c:pt idx="4">
                  <c:v>2015. gads</c:v>
                </c:pt>
                <c:pt idx="5">
                  <c:v>2016. gads</c:v>
                </c:pt>
                <c:pt idx="6">
                  <c:v>2017. gads</c:v>
                </c:pt>
              </c:strCache>
            </c:strRef>
          </c:cat>
          <c:val>
            <c:numRef>
              <c:f>IV_Zem_Din!$D$40:$J$40</c:f>
              <c:numCache>
                <c:formatCode>0.0%</c:formatCode>
                <c:ptCount val="7"/>
                <c:pt idx="0">
                  <c:v>-9.7000000000000003E-2</c:v>
                </c:pt>
                <c:pt idx="1">
                  <c:v>0.185</c:v>
                </c:pt>
                <c:pt idx="2">
                  <c:v>0.121</c:v>
                </c:pt>
                <c:pt idx="3">
                  <c:v>-8.3000000000000004E-2</c:v>
                </c:pt>
                <c:pt idx="4">
                  <c:v>0.183</c:v>
                </c:pt>
                <c:pt idx="5">
                  <c:v>5.4425837320574301E-2</c:v>
                </c:pt>
                <c:pt idx="6">
                  <c:v>-9.4157685762904259E-2</c:v>
                </c:pt>
              </c:numCache>
            </c:numRef>
          </c:val>
          <c:extLst>
            <c:ext xmlns:c16="http://schemas.microsoft.com/office/drawing/2014/chart" uri="{C3380CC4-5D6E-409C-BE32-E72D297353CC}">
              <c16:uniqueId val="{00000001-D20B-47D5-AE15-932776F25E26}"/>
            </c:ext>
          </c:extLst>
        </c:ser>
        <c:ser>
          <c:idx val="2"/>
          <c:order val="2"/>
          <c:tx>
            <c:strRef>
              <c:f>IV_Zem_Din!$B$41:$C$41</c:f>
              <c:strCache>
                <c:ptCount val="2"/>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2"/>
              <c:layout>
                <c:manualLayout>
                  <c:x val="-0.1260606060606060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IV_Zem_Din!$D$38:$J$38</c:f>
              <c:strCache>
                <c:ptCount val="7"/>
                <c:pt idx="0">
                  <c:v>2011. gads</c:v>
                </c:pt>
                <c:pt idx="1">
                  <c:v>2012. gads</c:v>
                </c:pt>
                <c:pt idx="2">
                  <c:v>2013. gads</c:v>
                </c:pt>
                <c:pt idx="3">
                  <c:v>2014. gads</c:v>
                </c:pt>
                <c:pt idx="4">
                  <c:v>2015. gads</c:v>
                </c:pt>
                <c:pt idx="5">
                  <c:v>2016. gads</c:v>
                </c:pt>
                <c:pt idx="6">
                  <c:v>2017. gads</c:v>
                </c:pt>
              </c:strCache>
            </c:strRef>
          </c:cat>
          <c:val>
            <c:numRef>
              <c:f>IV_Zem_Din!$D$41:$J$41</c:f>
              <c:numCache>
                <c:formatCode>0.0%</c:formatCode>
                <c:ptCount val="7"/>
                <c:pt idx="0">
                  <c:v>3.5999999999999997E-2</c:v>
                </c:pt>
                <c:pt idx="1">
                  <c:v>2.1000000000000001E-2</c:v>
                </c:pt>
                <c:pt idx="2">
                  <c:v>-0.11899999999999999</c:v>
                </c:pt>
                <c:pt idx="3">
                  <c:v>1.494</c:v>
                </c:pt>
                <c:pt idx="4">
                  <c:v>0.315</c:v>
                </c:pt>
                <c:pt idx="5">
                  <c:v>6.7584480600750937E-2</c:v>
                </c:pt>
                <c:pt idx="6">
                  <c:v>-0.34208675263774907</c:v>
                </c:pt>
              </c:numCache>
            </c:numRef>
          </c:val>
          <c:extLst>
            <c:ext xmlns:c16="http://schemas.microsoft.com/office/drawing/2014/chart" uri="{C3380CC4-5D6E-409C-BE32-E72D297353CC}">
              <c16:uniqueId val="{00000002-D20B-47D5-AE15-932776F25E26}"/>
            </c:ext>
          </c:extLst>
        </c:ser>
        <c:dLbls>
          <c:dLblPos val="outEnd"/>
          <c:showLegendKey val="0"/>
          <c:showVal val="1"/>
          <c:showCatName val="0"/>
          <c:showSerName val="0"/>
          <c:showPercent val="0"/>
          <c:showBubbleSize val="0"/>
        </c:dLbls>
        <c:gapWidth val="115"/>
        <c:overlap val="-20"/>
        <c:axId val="500378824"/>
        <c:axId val="500379152"/>
      </c:barChart>
      <c:catAx>
        <c:axId val="50037882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00379152"/>
        <c:crosses val="autoZero"/>
        <c:auto val="1"/>
        <c:lblAlgn val="ctr"/>
        <c:lblOffset val="100"/>
        <c:noMultiLvlLbl val="0"/>
      </c:catAx>
      <c:valAx>
        <c:axId val="500379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378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IV_Zem_Din!$A$61:$D$61</c:f>
              <c:strCache>
                <c:ptCount val="4"/>
                <c:pt idx="0">
                  <c:v>Būvdarbu iepirkumi (milj.EUR)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IV_Zem_Din!$E$61:$L$61</c:f>
              <c:numCache>
                <c:formatCode>0.0</c:formatCode>
                <c:ptCount val="8"/>
                <c:pt idx="0">
                  <c:v>165.6</c:v>
                </c:pt>
                <c:pt idx="1">
                  <c:v>213.3</c:v>
                </c:pt>
                <c:pt idx="2">
                  <c:v>229.7</c:v>
                </c:pt>
                <c:pt idx="3">
                  <c:v>241.8</c:v>
                </c:pt>
                <c:pt idx="4">
                  <c:v>235.2</c:v>
                </c:pt>
                <c:pt idx="5">
                  <c:v>235.9</c:v>
                </c:pt>
                <c:pt idx="6" formatCode="General">
                  <c:v>156.80000000000001</c:v>
                </c:pt>
                <c:pt idx="7" formatCode="General">
                  <c:v>206.1</c:v>
                </c:pt>
              </c:numCache>
            </c:numRef>
          </c:val>
          <c:extLst>
            <c:ext xmlns:c16="http://schemas.microsoft.com/office/drawing/2014/chart" uri="{C3380CC4-5D6E-409C-BE32-E72D297353CC}">
              <c16:uniqueId val="{00000000-5397-4B65-9FCE-4E431B111FF3}"/>
            </c:ext>
          </c:extLst>
        </c:ser>
        <c:ser>
          <c:idx val="1"/>
          <c:order val="1"/>
          <c:tx>
            <c:strRef>
              <c:f>IV_Zem_Din!$A$62:$D$62</c:f>
              <c:strCache>
                <c:ptCount val="4"/>
                <c:pt idx="0">
                  <c:v>Preču iepirkumi (milj.EUR)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IV_Zem_Din!$E$62:$L$62</c:f>
              <c:numCache>
                <c:formatCode>0.0</c:formatCode>
                <c:ptCount val="8"/>
                <c:pt idx="0">
                  <c:v>128.30000000000001</c:v>
                </c:pt>
                <c:pt idx="1">
                  <c:v>116</c:v>
                </c:pt>
                <c:pt idx="2">
                  <c:v>137.4</c:v>
                </c:pt>
                <c:pt idx="3">
                  <c:v>154.1</c:v>
                </c:pt>
                <c:pt idx="4">
                  <c:v>151.4</c:v>
                </c:pt>
                <c:pt idx="5">
                  <c:v>167.2</c:v>
                </c:pt>
                <c:pt idx="6" formatCode="General">
                  <c:v>176.3</c:v>
                </c:pt>
                <c:pt idx="7" formatCode="General">
                  <c:v>159.69999999999999</c:v>
                </c:pt>
              </c:numCache>
            </c:numRef>
          </c:val>
          <c:extLst>
            <c:ext xmlns:c16="http://schemas.microsoft.com/office/drawing/2014/chart" uri="{C3380CC4-5D6E-409C-BE32-E72D297353CC}">
              <c16:uniqueId val="{00000001-5397-4B65-9FCE-4E431B111FF3}"/>
            </c:ext>
          </c:extLst>
        </c:ser>
        <c:ser>
          <c:idx val="2"/>
          <c:order val="2"/>
          <c:tx>
            <c:strRef>
              <c:f>IV_Zem_Din!$A$63:$D$63</c:f>
              <c:strCache>
                <c:ptCount val="4"/>
                <c:pt idx="0">
                  <c:v>Pakalpojumu iepirkumi (milj.EUR)</c:v>
                </c:pt>
              </c:strCache>
            </c:strRef>
          </c:tx>
          <c:spPr>
            <a:solidFill>
              <a:schemeClr val="accent3"/>
            </a:solidFill>
            <a:ln>
              <a:noFill/>
            </a:ln>
            <a:effectLst/>
          </c:spPr>
          <c:invertIfNegative val="0"/>
          <c:dLbls>
            <c:dLbl>
              <c:idx val="0"/>
              <c:layout>
                <c:manualLayout>
                  <c:x val="1.0582010582010581E-2"/>
                  <c:y val="-2.9112081513829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97-4B65-9FCE-4E431B111FF3}"/>
                </c:ext>
              </c:extLst>
            </c:dLbl>
            <c:dLbl>
              <c:idx val="2"/>
              <c:layout>
                <c:manualLayout>
                  <c:x val="9.070294784580554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97-4B65-9FCE-4E431B111F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IV_Zem_Din!$E$63:$L$63</c:f>
              <c:numCache>
                <c:formatCode>0.0</c:formatCode>
                <c:ptCount val="8"/>
                <c:pt idx="0">
                  <c:v>130.80000000000001</c:v>
                </c:pt>
                <c:pt idx="1">
                  <c:v>135.4</c:v>
                </c:pt>
                <c:pt idx="2">
                  <c:v>138.30000000000001</c:v>
                </c:pt>
                <c:pt idx="3">
                  <c:v>121.8</c:v>
                </c:pt>
                <c:pt idx="4">
                  <c:v>303.8</c:v>
                </c:pt>
                <c:pt idx="5">
                  <c:v>399.5</c:v>
                </c:pt>
                <c:pt idx="6" formatCode="General">
                  <c:v>426.5</c:v>
                </c:pt>
                <c:pt idx="7" formatCode="General">
                  <c:v>280.60000000000002</c:v>
                </c:pt>
              </c:numCache>
            </c:numRef>
          </c:val>
          <c:extLst>
            <c:ext xmlns:c16="http://schemas.microsoft.com/office/drawing/2014/chart" uri="{C3380CC4-5D6E-409C-BE32-E72D297353CC}">
              <c16:uniqueId val="{00000002-5397-4B65-9FCE-4E431B111FF3}"/>
            </c:ext>
          </c:extLst>
        </c:ser>
        <c:dLbls>
          <c:showLegendKey val="0"/>
          <c:showVal val="1"/>
          <c:showCatName val="0"/>
          <c:showSerName val="0"/>
          <c:showPercent val="0"/>
          <c:showBubbleSize val="0"/>
        </c:dLbls>
        <c:gapWidth val="219"/>
        <c:overlap val="-27"/>
        <c:axId val="500955840"/>
        <c:axId val="500951248"/>
      </c:barChart>
      <c:lineChart>
        <c:grouping val="standard"/>
        <c:varyColors val="0"/>
        <c:ser>
          <c:idx val="3"/>
          <c:order val="3"/>
          <c:tx>
            <c:strRef>
              <c:f>IV_Zem_Din!$A$64:$D$64</c:f>
              <c:strCache>
                <c:ptCount val="4"/>
                <c:pt idx="0">
                  <c:v>Būvdarbu iepirkumu vidējā vērtība (EUR)</c:v>
                </c:pt>
              </c:strCache>
            </c:strRef>
          </c:tx>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IV_Zem_Din!$E$64:$L$64</c:f>
              <c:numCache>
                <c:formatCode>#,##0</c:formatCode>
                <c:ptCount val="8"/>
                <c:pt idx="0">
                  <c:v>93386</c:v>
                </c:pt>
                <c:pt idx="1">
                  <c:v>92613</c:v>
                </c:pt>
                <c:pt idx="2">
                  <c:v>41408</c:v>
                </c:pt>
                <c:pt idx="3">
                  <c:v>43826</c:v>
                </c:pt>
                <c:pt idx="4">
                  <c:v>44360</c:v>
                </c:pt>
                <c:pt idx="5">
                  <c:v>46955</c:v>
                </c:pt>
                <c:pt idx="6">
                  <c:v>27756</c:v>
                </c:pt>
                <c:pt idx="7">
                  <c:v>33764</c:v>
                </c:pt>
              </c:numCache>
            </c:numRef>
          </c:val>
          <c:smooth val="0"/>
          <c:extLst>
            <c:ext xmlns:c16="http://schemas.microsoft.com/office/drawing/2014/chart" uri="{C3380CC4-5D6E-409C-BE32-E72D297353CC}">
              <c16:uniqueId val="{00000003-5397-4B65-9FCE-4E431B111FF3}"/>
            </c:ext>
          </c:extLst>
        </c:ser>
        <c:ser>
          <c:idx val="4"/>
          <c:order val="4"/>
          <c:tx>
            <c:strRef>
              <c:f>IV_Zem_Din!$A$65:$D$65</c:f>
              <c:strCache>
                <c:ptCount val="4"/>
                <c:pt idx="0">
                  <c:v>Preču iepirkumu vidējā vērtība (EUR)</c:v>
                </c:pt>
              </c:strCache>
            </c:strRef>
          </c:tx>
          <c:spPr>
            <a:ln w="28575" cap="rnd">
              <a:solidFill>
                <a:schemeClr val="accent2"/>
              </a:solidFill>
              <a:round/>
            </a:ln>
            <a:effectLst/>
          </c:spPr>
          <c:marker>
            <c:symbol val="none"/>
          </c:marker>
          <c:dLbls>
            <c:spPr>
              <a:solidFill>
                <a:schemeClr val="accent2">
                  <a:lumMod val="20000"/>
                  <a:lumOff val="80000"/>
                </a:schemeClr>
              </a:solidFill>
              <a:ln>
                <a:solidFill>
                  <a:schemeClr val="accent2">
                    <a:lumMod val="20000"/>
                    <a:lumOff val="8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IV_Zem_Din!$E$65:$L$65</c:f>
              <c:numCache>
                <c:formatCode>#,##0</c:formatCode>
                <c:ptCount val="8"/>
                <c:pt idx="0">
                  <c:v>3443</c:v>
                </c:pt>
                <c:pt idx="1">
                  <c:v>4130</c:v>
                </c:pt>
                <c:pt idx="2">
                  <c:v>3681</c:v>
                </c:pt>
                <c:pt idx="3">
                  <c:v>4292</c:v>
                </c:pt>
                <c:pt idx="4">
                  <c:v>3725</c:v>
                </c:pt>
                <c:pt idx="5">
                  <c:v>2320</c:v>
                </c:pt>
                <c:pt idx="6">
                  <c:v>2611</c:v>
                </c:pt>
                <c:pt idx="7">
                  <c:v>2220</c:v>
                </c:pt>
              </c:numCache>
            </c:numRef>
          </c:val>
          <c:smooth val="0"/>
          <c:extLst>
            <c:ext xmlns:c16="http://schemas.microsoft.com/office/drawing/2014/chart" uri="{C3380CC4-5D6E-409C-BE32-E72D297353CC}">
              <c16:uniqueId val="{00000004-5397-4B65-9FCE-4E431B111FF3}"/>
            </c:ext>
          </c:extLst>
        </c:ser>
        <c:ser>
          <c:idx val="5"/>
          <c:order val="5"/>
          <c:tx>
            <c:strRef>
              <c:f>IV_Zem_Din!$A$66:$D$66</c:f>
              <c:strCache>
                <c:ptCount val="4"/>
                <c:pt idx="0">
                  <c:v>Pakalpojumu iepirkumu vidējā vērtība (EUR)</c:v>
                </c:pt>
              </c:strCache>
            </c:strRef>
          </c:tx>
          <c:spPr>
            <a:ln w="28575" cap="rnd">
              <a:solidFill>
                <a:schemeClr val="accent3">
                  <a:lumMod val="75000"/>
                </a:schemeClr>
              </a:solidFill>
              <a:round/>
            </a:ln>
            <a:effectLst/>
          </c:spPr>
          <c:marker>
            <c:symbol val="none"/>
          </c:marker>
          <c:dLbls>
            <c:dLbl>
              <c:idx val="0"/>
              <c:layout>
                <c:manualLayout>
                  <c:x val="2.3223644663464688E-2"/>
                  <c:y val="-5.092436589531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97-4B65-9FCE-4E431B111FF3}"/>
                </c:ext>
              </c:extLst>
            </c:dLbl>
            <c:dLbl>
              <c:idx val="1"/>
              <c:layout>
                <c:manualLayout>
                  <c:x val="2.3223644663464688E-2"/>
                  <c:y val="-2.4723492532865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97-4B65-9FCE-4E431B111FF3}"/>
                </c:ext>
              </c:extLst>
            </c:dLbl>
            <c:dLbl>
              <c:idx val="2"/>
              <c:layout>
                <c:manualLayout>
                  <c:x val="2.3223644663464688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97-4B65-9FCE-4E431B111FF3}"/>
                </c:ext>
              </c:extLst>
            </c:dLbl>
            <c:dLbl>
              <c:idx val="3"/>
              <c:layout>
                <c:manualLayout>
                  <c:x val="1.7176781473744355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97-4B65-9FCE-4E431B111FF3}"/>
                </c:ext>
              </c:extLst>
            </c:dLbl>
            <c:dLbl>
              <c:idx val="4"/>
              <c:layout>
                <c:manualLayout>
                  <c:x val="1.6363430761630986E-3"/>
                  <c:y val="-3.0545908835631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97-4B65-9FCE-4E431B111FF3}"/>
                </c:ext>
              </c:extLst>
            </c:dLbl>
            <c:dLbl>
              <c:idx val="5"/>
              <c:layout>
                <c:manualLayout>
                  <c:x val="2.1711928866034493E-2"/>
                  <c:y val="-4.2190741441162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97-4B65-9FCE-4E431B111FF3}"/>
                </c:ext>
              </c:extLst>
            </c:dLbl>
            <c:dLbl>
              <c:idx val="7"/>
              <c:layout>
                <c:manualLayout>
                  <c:x val="-2.621612108412541E-2"/>
                  <c:y val="-0.1118345106190586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D7-4B58-8CF4-DC5F633DC568}"/>
                </c:ext>
              </c:extLst>
            </c:dLbl>
            <c:spPr>
              <a:solidFill>
                <a:schemeClr val="accent3">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IV_Zem_Din!$E$60:$L$60</c:f>
              <c:strCache>
                <c:ptCount val="8"/>
                <c:pt idx="0">
                  <c:v>2010. gads</c:v>
                </c:pt>
                <c:pt idx="1">
                  <c:v>2011. gads</c:v>
                </c:pt>
                <c:pt idx="2">
                  <c:v>2012. gads</c:v>
                </c:pt>
                <c:pt idx="3">
                  <c:v>2013. gads</c:v>
                </c:pt>
                <c:pt idx="4">
                  <c:v>2014. gads</c:v>
                </c:pt>
                <c:pt idx="5">
                  <c:v>2015. gads</c:v>
                </c:pt>
                <c:pt idx="6">
                  <c:v>2016. gads</c:v>
                </c:pt>
                <c:pt idx="7">
                  <c:v>2017. gads</c:v>
                </c:pt>
              </c:strCache>
            </c:strRef>
          </c:cat>
          <c:val>
            <c:numRef>
              <c:f>IV_Zem_Din!$E$66:$L$66</c:f>
              <c:numCache>
                <c:formatCode>#,##0</c:formatCode>
                <c:ptCount val="8"/>
                <c:pt idx="0">
                  <c:v>5926</c:v>
                </c:pt>
                <c:pt idx="1">
                  <c:v>7341</c:v>
                </c:pt>
                <c:pt idx="2">
                  <c:v>4429</c:v>
                </c:pt>
                <c:pt idx="3">
                  <c:v>4337</c:v>
                </c:pt>
                <c:pt idx="4">
                  <c:v>10238</c:v>
                </c:pt>
                <c:pt idx="5">
                  <c:v>6206</c:v>
                </c:pt>
                <c:pt idx="6">
                  <c:v>6664</c:v>
                </c:pt>
                <c:pt idx="7">
                  <c:v>4290</c:v>
                </c:pt>
              </c:numCache>
            </c:numRef>
          </c:val>
          <c:smooth val="0"/>
          <c:extLst>
            <c:ext xmlns:c16="http://schemas.microsoft.com/office/drawing/2014/chart" uri="{C3380CC4-5D6E-409C-BE32-E72D297353CC}">
              <c16:uniqueId val="{00000005-5397-4B65-9FCE-4E431B111FF3}"/>
            </c:ext>
          </c:extLst>
        </c:ser>
        <c:dLbls>
          <c:showLegendKey val="0"/>
          <c:showVal val="1"/>
          <c:showCatName val="0"/>
          <c:showSerName val="0"/>
          <c:showPercent val="0"/>
          <c:showBubbleSize val="0"/>
        </c:dLbls>
        <c:marker val="1"/>
        <c:smooth val="0"/>
        <c:axId val="500962072"/>
        <c:axId val="500966336"/>
      </c:lineChart>
      <c:catAx>
        <c:axId val="50095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1248"/>
        <c:crosses val="autoZero"/>
        <c:auto val="1"/>
        <c:lblAlgn val="ctr"/>
        <c:lblOffset val="100"/>
        <c:noMultiLvlLbl val="0"/>
      </c:catAx>
      <c:valAx>
        <c:axId val="50095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5840"/>
        <c:crosses val="autoZero"/>
        <c:crossBetween val="between"/>
      </c:valAx>
      <c:valAx>
        <c:axId val="5009663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62072"/>
        <c:crosses val="max"/>
        <c:crossBetween val="between"/>
      </c:valAx>
      <c:catAx>
        <c:axId val="500962072"/>
        <c:scaling>
          <c:orientation val="minMax"/>
        </c:scaling>
        <c:delete val="1"/>
        <c:axPos val="b"/>
        <c:numFmt formatCode="General" sourceLinked="1"/>
        <c:majorTickMark val="out"/>
        <c:minorTickMark val="none"/>
        <c:tickLblPos val="nextTo"/>
        <c:crossAx val="50096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36562807584918"/>
          <c:y val="2.3466662724760067E-2"/>
          <c:w val="0.86063437192415082"/>
          <c:h val="0.73935325867282931"/>
        </c:manualLayout>
      </c:layout>
      <c:barChart>
        <c:barDir val="col"/>
        <c:grouping val="clustered"/>
        <c:varyColors val="0"/>
        <c:ser>
          <c:idx val="0"/>
          <c:order val="0"/>
          <c:tx>
            <c:strRef>
              <c:f>IV_Zem_Din!$B$98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IV_Zem_Din!$B$99:$B$106</c:f>
              <c:numCache>
                <c:formatCode>0.0%</c:formatCode>
                <c:ptCount val="8"/>
                <c:pt idx="0">
                  <c:v>-0.99998387561435542</c:v>
                </c:pt>
                <c:pt idx="1">
                  <c:v>0.11436994074988166</c:v>
                </c:pt>
                <c:pt idx="2">
                  <c:v>1.120101466403931</c:v>
                </c:pt>
                <c:pt idx="3">
                  <c:v>-3.8438929372684741E-2</c:v>
                </c:pt>
                <c:pt idx="4">
                  <c:v>0.18638303113532953</c:v>
                </c:pt>
                <c:pt idx="5">
                  <c:v>15.375999999999999</c:v>
                </c:pt>
                <c:pt idx="6">
                  <c:v>0.43767239032032235</c:v>
                </c:pt>
                <c:pt idx="7">
                  <c:v>-0.86203432051246109</c:v>
                </c:pt>
              </c:numCache>
            </c:numRef>
          </c:val>
          <c:extLst>
            <c:ext xmlns:c16="http://schemas.microsoft.com/office/drawing/2014/chart" uri="{C3380CC4-5D6E-409C-BE32-E72D297353CC}">
              <c16:uniqueId val="{00000000-01A8-4E9E-82F2-E3D5FEE61719}"/>
            </c:ext>
          </c:extLst>
        </c:ser>
        <c:ser>
          <c:idx val="1"/>
          <c:order val="1"/>
          <c:tx>
            <c:strRef>
              <c:f>IV_Zem_Din!$C$98</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IV_Zem_Din!$C$99:$C$106</c:f>
              <c:numCache>
                <c:formatCode>0.0%</c:formatCode>
                <c:ptCount val="8"/>
                <c:pt idx="0">
                  <c:v>0.82023812246035965</c:v>
                </c:pt>
                <c:pt idx="1">
                  <c:v>-6.4108327654382069E-2</c:v>
                </c:pt>
                <c:pt idx="2">
                  <c:v>0.10162301299692893</c:v>
                </c:pt>
                <c:pt idx="3">
                  <c:v>-0.10795918865457567</c:v>
                </c:pt>
                <c:pt idx="4">
                  <c:v>0.24722712816472905</c:v>
                </c:pt>
                <c:pt idx="5">
                  <c:v>1.2619507420836027</c:v>
                </c:pt>
                <c:pt idx="6">
                  <c:v>0.28180972942924309</c:v>
                </c:pt>
                <c:pt idx="7">
                  <c:v>2.1893117088888441</c:v>
                </c:pt>
              </c:numCache>
            </c:numRef>
          </c:val>
          <c:extLst>
            <c:ext xmlns:c16="http://schemas.microsoft.com/office/drawing/2014/chart" uri="{C3380CC4-5D6E-409C-BE32-E72D297353CC}">
              <c16:uniqueId val="{00000001-01A8-4E9E-82F2-E3D5FEE61719}"/>
            </c:ext>
          </c:extLst>
        </c:ser>
        <c:ser>
          <c:idx val="2"/>
          <c:order val="2"/>
          <c:tx>
            <c:strRef>
              <c:f>IV_Zem_Din!$D$98</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Dzelzceļa pakalpojumi</c:v>
                </c:pt>
                <c:pt idx="4">
                  <c:v>Pasažieru pārvadājumi</c:v>
                </c:pt>
                <c:pt idx="5">
                  <c:v>Pasta pakalpojumi</c:v>
                </c:pt>
                <c:pt idx="6">
                  <c:v>Ostas</c:v>
                </c:pt>
                <c:pt idx="7">
                  <c:v>Lidostas</c:v>
                </c:pt>
              </c:strCache>
            </c:strRef>
          </c:cat>
          <c:val>
            <c:numRef>
              <c:f>IV_Zem_Din!$D$99:$D$106</c:f>
              <c:numCache>
                <c:formatCode>0.0%</c:formatCode>
                <c:ptCount val="8"/>
                <c:pt idx="0">
                  <c:v>5.1195612943863766</c:v>
                </c:pt>
                <c:pt idx="1">
                  <c:v>1.8459090874783262</c:v>
                </c:pt>
                <c:pt idx="2">
                  <c:v>0.3489599823238273</c:v>
                </c:pt>
                <c:pt idx="3">
                  <c:v>3.7260614340294818E-2</c:v>
                </c:pt>
                <c:pt idx="4">
                  <c:v>0.1531460906974525</c:v>
                </c:pt>
                <c:pt idx="5">
                  <c:v>0.44769739469354503</c:v>
                </c:pt>
                <c:pt idx="6">
                  <c:v>-1.4005041612759976E-2</c:v>
                </c:pt>
                <c:pt idx="7">
                  <c:v>0.10027886942103577</c:v>
                </c:pt>
              </c:numCache>
            </c:numRef>
          </c:val>
          <c:extLst>
            <c:ext xmlns:c16="http://schemas.microsoft.com/office/drawing/2014/chart" uri="{C3380CC4-5D6E-409C-BE32-E72D297353CC}">
              <c16:uniqueId val="{00000002-01A8-4E9E-82F2-E3D5FEE61719}"/>
            </c:ext>
          </c:extLst>
        </c:ser>
        <c:dLbls>
          <c:dLblPos val="outEnd"/>
          <c:showLegendKey val="0"/>
          <c:showVal val="1"/>
          <c:showCatName val="0"/>
          <c:showSerName val="0"/>
          <c:showPercent val="0"/>
          <c:showBubbleSize val="0"/>
        </c:dLbls>
        <c:gapWidth val="100"/>
        <c:overlap val="-24"/>
        <c:axId val="509150064"/>
        <c:axId val="509152688"/>
      </c:barChart>
      <c:catAx>
        <c:axId val="509150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2688"/>
        <c:crosses val="autoZero"/>
        <c:auto val="1"/>
        <c:lblAlgn val="ctr"/>
        <c:lblOffset val="100"/>
        <c:noMultiLvlLbl val="0"/>
      </c:catAx>
      <c:valAx>
        <c:axId val="509152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0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layout>
        <c:manualLayout>
          <c:xMode val="edge"/>
          <c:yMode val="edge"/>
          <c:x val="0.31256339449397064"/>
          <c:y val="0.94604788896080683"/>
          <c:w val="0.37487321101205873"/>
          <c:h val="3.39881425131376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V_Izņēmumi_Din!$C$18</c:f>
              <c:strCache>
                <c:ptCount val="1"/>
                <c:pt idx="0">
                  <c:v>Pavisam kopējā līgumu summa, milj.EUR</c:v>
                </c:pt>
              </c:strCache>
            </c:strRef>
          </c:tx>
          <c:spPr>
            <a:solidFill>
              <a:schemeClr val="accent2"/>
            </a:solidFill>
            <a:ln>
              <a:noFill/>
            </a:ln>
            <a:effectLst/>
          </c:spPr>
          <c:invertIfNegative val="0"/>
          <c:dLbls>
            <c:dLbl>
              <c:idx val="0"/>
              <c:layout>
                <c:manualLayout>
                  <c:x val="-1.9308184884200938E-17"/>
                  <c:y val="0.1140024783147459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2-4C31-9539-172CFAB106BA}"/>
                </c:ext>
              </c:extLst>
            </c:dLbl>
            <c:dLbl>
              <c:idx val="1"/>
              <c:layout>
                <c:manualLayout>
                  <c:x val="4.2127435492364399E-3"/>
                  <c:y val="7.93060718711276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2-4C31-9539-172CFAB106BA}"/>
                </c:ext>
              </c:extLst>
            </c:dLbl>
            <c:dLbl>
              <c:idx val="2"/>
              <c:layout>
                <c:manualLayout>
                  <c:x val="8.4254870984728034E-3"/>
                  <c:y val="8.9219330855018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2-4C31-9539-172CFAB106BA}"/>
                </c:ext>
              </c:extLst>
            </c:dLbl>
            <c:dLbl>
              <c:idx val="3"/>
              <c:layout>
                <c:manualLayout>
                  <c:x val="6.3191153238546603E-3"/>
                  <c:y val="7.4349442379182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V_Izņēmumi_Din!$A$19:$A$24</c:f>
              <c:numCache>
                <c:formatCode>General</c:formatCode>
                <c:ptCount val="6"/>
                <c:pt idx="0">
                  <c:v>2012</c:v>
                </c:pt>
                <c:pt idx="1">
                  <c:v>2013</c:v>
                </c:pt>
                <c:pt idx="2">
                  <c:v>2014</c:v>
                </c:pt>
                <c:pt idx="3">
                  <c:v>2015</c:v>
                </c:pt>
                <c:pt idx="4">
                  <c:v>2016</c:v>
                </c:pt>
                <c:pt idx="5">
                  <c:v>2017</c:v>
                </c:pt>
              </c:numCache>
            </c:numRef>
          </c:cat>
          <c:val>
            <c:numRef>
              <c:f>V_Izņēmumi_Din!$C$19:$C$24</c:f>
              <c:numCache>
                <c:formatCode>#\ ##0.0</c:formatCode>
                <c:ptCount val="6"/>
                <c:pt idx="0">
                  <c:v>1804.590796</c:v>
                </c:pt>
                <c:pt idx="1">
                  <c:v>1305.1158720000001</c:v>
                </c:pt>
                <c:pt idx="2">
                  <c:v>1632.9772359999999</c:v>
                </c:pt>
                <c:pt idx="3">
                  <c:v>1296.767325</c:v>
                </c:pt>
                <c:pt idx="4">
                  <c:v>1529.6</c:v>
                </c:pt>
                <c:pt idx="5">
                  <c:v>1237.5999999999999</c:v>
                </c:pt>
              </c:numCache>
            </c:numRef>
          </c:val>
          <c:extLst>
            <c:ext xmlns:c16="http://schemas.microsoft.com/office/drawing/2014/chart" uri="{C3380CC4-5D6E-409C-BE32-E72D297353CC}">
              <c16:uniqueId val="{00000001-DFE2-4C31-9539-172CFAB106BA}"/>
            </c:ext>
          </c:extLst>
        </c:ser>
        <c:dLbls>
          <c:showLegendKey val="0"/>
          <c:showVal val="0"/>
          <c:showCatName val="0"/>
          <c:showSerName val="0"/>
          <c:showPercent val="0"/>
          <c:showBubbleSize val="0"/>
        </c:dLbls>
        <c:gapWidth val="219"/>
        <c:axId val="463793632"/>
        <c:axId val="463791664"/>
      </c:barChart>
      <c:lineChart>
        <c:grouping val="standard"/>
        <c:varyColors val="0"/>
        <c:ser>
          <c:idx val="0"/>
          <c:order val="0"/>
          <c:tx>
            <c:strRef>
              <c:f>V_Izņēmumi_Din!$B$18</c:f>
              <c:strCache>
                <c:ptCount val="1"/>
                <c:pt idx="0">
                  <c:v>Piemē-roto izņēmu-mu līgumu summas īpatsvars (%)</c:v>
                </c:pt>
              </c:strCache>
            </c:strRef>
          </c:tx>
          <c:spPr>
            <a:ln w="28575" cap="rnd">
              <a:solidFill>
                <a:schemeClr val="accent1"/>
              </a:solidFill>
              <a:round/>
            </a:ln>
            <a:effectLst/>
          </c:spPr>
          <c:marker>
            <c:symbol val="none"/>
          </c:marker>
          <c:dLbls>
            <c:dLbl>
              <c:idx val="3"/>
              <c:layout>
                <c:manualLayout>
                  <c:x val="2.5276461295418488E-2"/>
                  <c:y val="9.91325898389099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V_Izņēmumi_Din!$A$19:$A$24</c:f>
              <c:numCache>
                <c:formatCode>General</c:formatCode>
                <c:ptCount val="6"/>
                <c:pt idx="0">
                  <c:v>2012</c:v>
                </c:pt>
                <c:pt idx="1">
                  <c:v>2013</c:v>
                </c:pt>
                <c:pt idx="2">
                  <c:v>2014</c:v>
                </c:pt>
                <c:pt idx="3">
                  <c:v>2015</c:v>
                </c:pt>
                <c:pt idx="4">
                  <c:v>2016</c:v>
                </c:pt>
                <c:pt idx="5">
                  <c:v>2017</c:v>
                </c:pt>
              </c:numCache>
            </c:numRef>
          </c:cat>
          <c:val>
            <c:numRef>
              <c:f>V_Izņēmumi_Din!$B$19:$B$24</c:f>
              <c:numCache>
                <c:formatCode>0.0%</c:formatCode>
                <c:ptCount val="6"/>
                <c:pt idx="0">
                  <c:v>0.17100000000000001</c:v>
                </c:pt>
                <c:pt idx="1">
                  <c:v>3.7999999999999999E-2</c:v>
                </c:pt>
                <c:pt idx="2">
                  <c:v>0.16400000000000001</c:v>
                </c:pt>
                <c:pt idx="3">
                  <c:v>9.8000000000000004E-2</c:v>
                </c:pt>
                <c:pt idx="4">
                  <c:v>7.9000000000000001E-2</c:v>
                </c:pt>
                <c:pt idx="5">
                  <c:v>0.254</c:v>
                </c:pt>
              </c:numCache>
            </c:numRef>
          </c:val>
          <c:smooth val="0"/>
          <c:extLst>
            <c:ext xmlns:c16="http://schemas.microsoft.com/office/drawing/2014/chart" uri="{C3380CC4-5D6E-409C-BE32-E72D297353CC}">
              <c16:uniqueId val="{00000000-DFE2-4C31-9539-172CFAB106BA}"/>
            </c:ext>
          </c:extLst>
        </c:ser>
        <c:dLbls>
          <c:showLegendKey val="0"/>
          <c:showVal val="0"/>
          <c:showCatName val="0"/>
          <c:showSerName val="0"/>
          <c:showPercent val="0"/>
          <c:showBubbleSize val="0"/>
        </c:dLbls>
        <c:marker val="1"/>
        <c:smooth val="0"/>
        <c:axId val="397686128"/>
        <c:axId val="397686456"/>
      </c:lineChart>
      <c:catAx>
        <c:axId val="39768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456"/>
        <c:crosses val="autoZero"/>
        <c:auto val="1"/>
        <c:lblAlgn val="ctr"/>
        <c:lblOffset val="100"/>
        <c:noMultiLvlLbl val="0"/>
      </c:catAx>
      <c:valAx>
        <c:axId val="397686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128"/>
        <c:crosses val="autoZero"/>
        <c:crossBetween val="between"/>
      </c:valAx>
      <c:valAx>
        <c:axId val="463791664"/>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3793632"/>
        <c:crosses val="max"/>
        <c:crossBetween val="between"/>
      </c:valAx>
      <c:catAx>
        <c:axId val="463793632"/>
        <c:scaling>
          <c:orientation val="minMax"/>
        </c:scaling>
        <c:delete val="1"/>
        <c:axPos val="b"/>
        <c:numFmt formatCode="General" sourceLinked="1"/>
        <c:majorTickMark val="out"/>
        <c:minorTickMark val="none"/>
        <c:tickLblPos val="nextTo"/>
        <c:crossAx val="463791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53836129690206E-2"/>
          <c:y val="5.0925925925925923E-2"/>
          <c:w val="0.82409518977295515"/>
          <c:h val="0.69471211668161736"/>
        </c:manualLayout>
      </c:layout>
      <c:barChart>
        <c:barDir val="col"/>
        <c:grouping val="clustered"/>
        <c:varyColors val="0"/>
        <c:ser>
          <c:idx val="2"/>
          <c:order val="2"/>
          <c:tx>
            <c:strRef>
              <c:f>V_Izņēmumi_Din!$D$3</c:f>
              <c:strCache>
                <c:ptCount val="1"/>
                <c:pt idx="0">
                  <c:v>Noslēgto līgumu summa (milj.EUR)</c:v>
                </c:pt>
              </c:strCache>
            </c:strRef>
          </c:tx>
          <c:spPr>
            <a:solidFill>
              <a:schemeClr val="accent3"/>
            </a:solidFill>
            <a:ln>
              <a:noFill/>
            </a:ln>
            <a:effectLst/>
          </c:spPr>
          <c:invertIfNegative val="0"/>
          <c:dLbls>
            <c:dLbl>
              <c:idx val="2"/>
              <c:layout>
                <c:manualLayout>
                  <c:x val="0"/>
                  <c:y val="0.139240506329113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E8-44C7-84FE-B203B591C6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V_Izņēmumi_Din!$A$4:$A$9</c:f>
              <c:numCache>
                <c:formatCode>General</c:formatCode>
                <c:ptCount val="6"/>
                <c:pt idx="0">
                  <c:v>2012</c:v>
                </c:pt>
                <c:pt idx="1">
                  <c:v>2013</c:v>
                </c:pt>
                <c:pt idx="2">
                  <c:v>2014</c:v>
                </c:pt>
                <c:pt idx="3">
                  <c:v>2015</c:v>
                </c:pt>
                <c:pt idx="4">
                  <c:v>2016</c:v>
                </c:pt>
                <c:pt idx="5">
                  <c:v>2017</c:v>
                </c:pt>
              </c:numCache>
            </c:numRef>
          </c:cat>
          <c:val>
            <c:numRef>
              <c:f>V_Izņēmumi_Din!$D$4:$D$9</c:f>
              <c:numCache>
                <c:formatCode>#\ ##0.0</c:formatCode>
                <c:ptCount val="6"/>
                <c:pt idx="0">
                  <c:v>307.912305</c:v>
                </c:pt>
                <c:pt idx="1">
                  <c:v>50.011688999999997</c:v>
                </c:pt>
                <c:pt idx="2">
                  <c:v>268.50295699999998</c:v>
                </c:pt>
                <c:pt idx="3">
                  <c:v>126.51613500000001</c:v>
                </c:pt>
                <c:pt idx="4">
                  <c:v>121.4</c:v>
                </c:pt>
                <c:pt idx="5">
                  <c:v>314.424038</c:v>
                </c:pt>
              </c:numCache>
            </c:numRef>
          </c:val>
          <c:extLst>
            <c:ext xmlns:c16="http://schemas.microsoft.com/office/drawing/2014/chart" uri="{C3380CC4-5D6E-409C-BE32-E72D297353CC}">
              <c16:uniqueId val="{00000002-71E8-44C7-84FE-B203B591C61F}"/>
            </c:ext>
          </c:extLst>
        </c:ser>
        <c:dLbls>
          <c:showLegendKey val="0"/>
          <c:showVal val="1"/>
          <c:showCatName val="0"/>
          <c:showSerName val="0"/>
          <c:showPercent val="0"/>
          <c:showBubbleSize val="0"/>
        </c:dLbls>
        <c:gapWidth val="219"/>
        <c:axId val="406525920"/>
        <c:axId val="406520016"/>
      </c:barChart>
      <c:lineChart>
        <c:grouping val="standard"/>
        <c:varyColors val="0"/>
        <c:ser>
          <c:idx val="0"/>
          <c:order val="0"/>
          <c:tx>
            <c:strRef>
              <c:f>V_Izņēmumi_Din!$B$3</c:f>
              <c:strCache>
                <c:ptCount val="1"/>
                <c:pt idx="0">
                  <c:v>Pakalpo-jumu snie-dzēju skaits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V_Izņēmumi_Din!$A$4:$A$9</c:f>
              <c:numCache>
                <c:formatCode>General</c:formatCode>
                <c:ptCount val="6"/>
                <c:pt idx="0">
                  <c:v>2012</c:v>
                </c:pt>
                <c:pt idx="1">
                  <c:v>2013</c:v>
                </c:pt>
                <c:pt idx="2">
                  <c:v>2014</c:v>
                </c:pt>
                <c:pt idx="3">
                  <c:v>2015</c:v>
                </c:pt>
                <c:pt idx="4">
                  <c:v>2016</c:v>
                </c:pt>
                <c:pt idx="5">
                  <c:v>2017</c:v>
                </c:pt>
              </c:numCache>
            </c:numRef>
          </c:cat>
          <c:val>
            <c:numRef>
              <c:f>V_Izņēmumi_Din!$B$4:$B$9</c:f>
              <c:numCache>
                <c:formatCode>General</c:formatCode>
                <c:ptCount val="6"/>
                <c:pt idx="2">
                  <c:v>41</c:v>
                </c:pt>
                <c:pt idx="3">
                  <c:v>43</c:v>
                </c:pt>
                <c:pt idx="4">
                  <c:v>48</c:v>
                </c:pt>
                <c:pt idx="5">
                  <c:v>50</c:v>
                </c:pt>
              </c:numCache>
            </c:numRef>
          </c:val>
          <c:smooth val="0"/>
          <c:extLst>
            <c:ext xmlns:c16="http://schemas.microsoft.com/office/drawing/2014/chart" uri="{C3380CC4-5D6E-409C-BE32-E72D297353CC}">
              <c16:uniqueId val="{00000000-71E8-44C7-84FE-B203B591C61F}"/>
            </c:ext>
          </c:extLst>
        </c:ser>
        <c:ser>
          <c:idx val="1"/>
          <c:order val="1"/>
          <c:tx>
            <c:strRef>
              <c:f>V_Izņēmumi_Din!$C$3</c:f>
              <c:strCache>
                <c:ptCount val="1"/>
                <c:pt idx="0">
                  <c:v>Noslēgto līgumu skaits</c:v>
                </c:pt>
              </c:strCache>
            </c:strRef>
          </c:tx>
          <c:spPr>
            <a:ln w="28575" cap="rnd">
              <a:solidFill>
                <a:schemeClr val="accent2"/>
              </a:solidFill>
              <a:round/>
            </a:ln>
            <a:effectLst/>
          </c:spPr>
          <c:marker>
            <c:symbol val="none"/>
          </c:marker>
          <c:dLbls>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1E8-44C7-84FE-B203B591C61F}"/>
                </c:ext>
              </c:extLst>
            </c:dLbl>
            <c:dLbl>
              <c:idx val="5"/>
              <c:layout>
                <c:manualLayout>
                  <c:x val="-0.12177135655572163"/>
                  <c:y val="-4.95734908136482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13-4E52-B9A3-106B50766F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V_Izņēmumi_Din!$A$4:$A$9</c:f>
              <c:numCache>
                <c:formatCode>General</c:formatCode>
                <c:ptCount val="6"/>
                <c:pt idx="0">
                  <c:v>2012</c:v>
                </c:pt>
                <c:pt idx="1">
                  <c:v>2013</c:v>
                </c:pt>
                <c:pt idx="2">
                  <c:v>2014</c:v>
                </c:pt>
                <c:pt idx="3">
                  <c:v>2015</c:v>
                </c:pt>
                <c:pt idx="4">
                  <c:v>2016</c:v>
                </c:pt>
                <c:pt idx="5">
                  <c:v>2017</c:v>
                </c:pt>
              </c:numCache>
            </c:numRef>
          </c:cat>
          <c:val>
            <c:numRef>
              <c:f>V_Izņēmumi_Din!$C$4:$C$9</c:f>
              <c:numCache>
                <c:formatCode>General</c:formatCode>
                <c:ptCount val="6"/>
                <c:pt idx="0">
                  <c:v>71</c:v>
                </c:pt>
                <c:pt idx="1">
                  <c:v>81</c:v>
                </c:pt>
                <c:pt idx="2">
                  <c:v>164</c:v>
                </c:pt>
                <c:pt idx="3">
                  <c:v>188</c:v>
                </c:pt>
                <c:pt idx="4">
                  <c:v>246</c:v>
                </c:pt>
                <c:pt idx="5">
                  <c:v>352</c:v>
                </c:pt>
              </c:numCache>
            </c:numRef>
          </c:val>
          <c:smooth val="0"/>
          <c:extLst>
            <c:ext xmlns:c16="http://schemas.microsoft.com/office/drawing/2014/chart" uri="{C3380CC4-5D6E-409C-BE32-E72D297353CC}">
              <c16:uniqueId val="{00000001-71E8-44C7-84FE-B203B591C61F}"/>
            </c:ext>
          </c:extLst>
        </c:ser>
        <c:ser>
          <c:idx val="3"/>
          <c:order val="3"/>
          <c:tx>
            <c:strRef>
              <c:f>V_Izņēmumi_Din!$E$3</c:f>
              <c:strCache>
                <c:ptCount val="1"/>
                <c:pt idx="0">
                  <c:v>Vidējā līguma vērtība, milj.EUR</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V_Izņēmumi_Din!$A$4:$A$9</c:f>
              <c:numCache>
                <c:formatCode>General</c:formatCode>
                <c:ptCount val="6"/>
                <c:pt idx="0">
                  <c:v>2012</c:v>
                </c:pt>
                <c:pt idx="1">
                  <c:v>2013</c:v>
                </c:pt>
                <c:pt idx="2">
                  <c:v>2014</c:v>
                </c:pt>
                <c:pt idx="3">
                  <c:v>2015</c:v>
                </c:pt>
                <c:pt idx="4">
                  <c:v>2016</c:v>
                </c:pt>
                <c:pt idx="5">
                  <c:v>2017</c:v>
                </c:pt>
              </c:numCache>
            </c:numRef>
          </c:cat>
          <c:val>
            <c:numRef>
              <c:f>V_Izņēmumi_Din!$E$4:$E$9</c:f>
              <c:numCache>
                <c:formatCode>#\ ##0.0</c:formatCode>
                <c:ptCount val="6"/>
                <c:pt idx="0">
                  <c:v>4.3367930281690139</c:v>
                </c:pt>
                <c:pt idx="1">
                  <c:v>0.61742825925925926</c:v>
                </c:pt>
                <c:pt idx="2">
                  <c:v>1.6372131524390243</c:v>
                </c:pt>
                <c:pt idx="3">
                  <c:v>0.67295816489361704</c:v>
                </c:pt>
                <c:pt idx="4">
                  <c:v>0.49349593495934962</c:v>
                </c:pt>
                <c:pt idx="5" formatCode="0.0">
                  <c:v>0.8932501079545454</c:v>
                </c:pt>
              </c:numCache>
            </c:numRef>
          </c:val>
          <c:smooth val="0"/>
          <c:extLst>
            <c:ext xmlns:c16="http://schemas.microsoft.com/office/drawing/2014/chart" uri="{C3380CC4-5D6E-409C-BE32-E72D297353CC}">
              <c16:uniqueId val="{00000003-71E8-44C7-84FE-B203B591C61F}"/>
            </c:ext>
          </c:extLst>
        </c:ser>
        <c:dLbls>
          <c:showLegendKey val="0"/>
          <c:showVal val="1"/>
          <c:showCatName val="0"/>
          <c:showSerName val="0"/>
          <c:showPercent val="0"/>
          <c:showBubbleSize val="0"/>
        </c:dLbls>
        <c:marker val="1"/>
        <c:smooth val="0"/>
        <c:axId val="406514440"/>
        <c:axId val="406514768"/>
      </c:lineChart>
      <c:catAx>
        <c:axId val="40651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768"/>
        <c:crosses val="autoZero"/>
        <c:auto val="1"/>
        <c:lblAlgn val="ctr"/>
        <c:lblOffset val="100"/>
        <c:noMultiLvlLbl val="0"/>
      </c:catAx>
      <c:valAx>
        <c:axId val="406514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440"/>
        <c:crosses val="autoZero"/>
        <c:crossBetween val="between"/>
      </c:valAx>
      <c:valAx>
        <c:axId val="406520016"/>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25920"/>
        <c:crosses val="max"/>
        <c:crossBetween val="between"/>
      </c:valAx>
      <c:catAx>
        <c:axId val="406525920"/>
        <c:scaling>
          <c:orientation val="minMax"/>
        </c:scaling>
        <c:delete val="1"/>
        <c:axPos val="b"/>
        <c:numFmt formatCode="General" sourceLinked="1"/>
        <c:majorTickMark val="out"/>
        <c:minorTickMark val="none"/>
        <c:tickLblPos val="nextTo"/>
        <c:crossAx val="4065200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7208734984077"/>
          <c:y val="4.1431261770244823E-2"/>
          <c:w val="0.75506125025511051"/>
          <c:h val="0.66074054302534235"/>
        </c:manualLayout>
      </c:layout>
      <c:barChart>
        <c:barDir val="col"/>
        <c:grouping val="clustered"/>
        <c:varyColors val="0"/>
        <c:ser>
          <c:idx val="0"/>
          <c:order val="0"/>
          <c:tx>
            <c:strRef>
              <c:f>II_Kopējā_dinamika!$A$4</c:f>
              <c:strCache>
                <c:ptCount val="1"/>
                <c:pt idx="0">
                  <c:v>Noslēgto līgumu summa virs ES sliekšņa (milj.EUR)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II_Kopējā_dinamika!$B$3:$I$3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II_Kopējā_dinamika!$B$4:$I$4</c:f>
              <c:numCache>
                <c:formatCode>General</c:formatCode>
                <c:ptCount val="8"/>
                <c:pt idx="0">
                  <c:v>913.1</c:v>
                </c:pt>
                <c:pt idx="1">
                  <c:v>402.5</c:v>
                </c:pt>
                <c:pt idx="2">
                  <c:v>991.2</c:v>
                </c:pt>
                <c:pt idx="3">
                  <c:v>737.3</c:v>
                </c:pt>
                <c:pt idx="4">
                  <c:v>684.1</c:v>
                </c:pt>
                <c:pt idx="5">
                  <c:v>367.5</c:v>
                </c:pt>
                <c:pt idx="6">
                  <c:v>648.6</c:v>
                </c:pt>
                <c:pt idx="7">
                  <c:v>276.8</c:v>
                </c:pt>
              </c:numCache>
            </c:numRef>
          </c:val>
          <c:extLst>
            <c:ext xmlns:c16="http://schemas.microsoft.com/office/drawing/2014/chart" uri="{C3380CC4-5D6E-409C-BE32-E72D297353CC}">
              <c16:uniqueId val="{00000000-178F-425F-A318-0F7D6FD6B056}"/>
            </c:ext>
          </c:extLst>
        </c:ser>
        <c:dLbls>
          <c:dLblPos val="inBase"/>
          <c:showLegendKey val="0"/>
          <c:showVal val="1"/>
          <c:showCatName val="0"/>
          <c:showSerName val="0"/>
          <c:showPercent val="0"/>
          <c:showBubbleSize val="0"/>
        </c:dLbls>
        <c:gapWidth val="269"/>
        <c:overlap val="-27"/>
        <c:axId val="480316840"/>
        <c:axId val="480318480"/>
      </c:barChart>
      <c:lineChart>
        <c:grouping val="standard"/>
        <c:varyColors val="0"/>
        <c:ser>
          <c:idx val="1"/>
          <c:order val="1"/>
          <c:tx>
            <c:strRef>
              <c:f>II_Kopējā_dinamika!$A$5</c:f>
              <c:strCache>
                <c:ptCount val="1"/>
                <c:pt idx="0">
                  <c:v>Iepirkumu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II_Kopējā_dinamika!$B$3:$I$3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II_Kopējā_dinamika!$B$5:$I$5</c:f>
              <c:numCache>
                <c:formatCode>General</c:formatCode>
                <c:ptCount val="8"/>
                <c:pt idx="0">
                  <c:v>76</c:v>
                </c:pt>
                <c:pt idx="1">
                  <c:v>95</c:v>
                </c:pt>
                <c:pt idx="2">
                  <c:v>101</c:v>
                </c:pt>
                <c:pt idx="3">
                  <c:v>111</c:v>
                </c:pt>
                <c:pt idx="4">
                  <c:v>119</c:v>
                </c:pt>
                <c:pt idx="5">
                  <c:v>93</c:v>
                </c:pt>
                <c:pt idx="6">
                  <c:v>98</c:v>
                </c:pt>
                <c:pt idx="7">
                  <c:v>90</c:v>
                </c:pt>
              </c:numCache>
            </c:numRef>
          </c:val>
          <c:smooth val="0"/>
          <c:extLst>
            <c:ext xmlns:c16="http://schemas.microsoft.com/office/drawing/2014/chart" uri="{C3380CC4-5D6E-409C-BE32-E72D297353CC}">
              <c16:uniqueId val="{00000001-178F-425F-A318-0F7D6FD6B056}"/>
            </c:ext>
          </c:extLst>
        </c:ser>
        <c:ser>
          <c:idx val="2"/>
          <c:order val="2"/>
          <c:tx>
            <c:strRef>
              <c:f>II_Kopējā_dinamika!$A$6</c:f>
              <c:strCache>
                <c:ptCount val="1"/>
                <c:pt idx="0">
                  <c:v>Līgumu skaits</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strRef>
              <c:f>II_Kopējā_dinamika!$B$3:$I$3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II_Kopējā_dinamika!$B$6:$I$6</c:f>
              <c:numCache>
                <c:formatCode>General</c:formatCode>
                <c:ptCount val="8"/>
                <c:pt idx="0">
                  <c:v>109</c:v>
                </c:pt>
                <c:pt idx="1">
                  <c:v>134</c:v>
                </c:pt>
                <c:pt idx="2">
                  <c:v>148</c:v>
                </c:pt>
                <c:pt idx="3">
                  <c:v>380</c:v>
                </c:pt>
                <c:pt idx="4">
                  <c:v>152</c:v>
                </c:pt>
                <c:pt idx="5">
                  <c:v>273</c:v>
                </c:pt>
                <c:pt idx="6">
                  <c:v>146</c:v>
                </c:pt>
                <c:pt idx="7">
                  <c:v>270</c:v>
                </c:pt>
              </c:numCache>
            </c:numRef>
          </c:val>
          <c:smooth val="0"/>
          <c:extLst>
            <c:ext xmlns:c16="http://schemas.microsoft.com/office/drawing/2014/chart" uri="{C3380CC4-5D6E-409C-BE32-E72D297353CC}">
              <c16:uniqueId val="{00000002-178F-425F-A318-0F7D6FD6B056}"/>
            </c:ext>
          </c:extLst>
        </c:ser>
        <c:dLbls>
          <c:showLegendKey val="0"/>
          <c:showVal val="1"/>
          <c:showCatName val="0"/>
          <c:showSerName val="0"/>
          <c:showPercent val="0"/>
          <c:showBubbleSize val="0"/>
        </c:dLbls>
        <c:marker val="1"/>
        <c:smooth val="0"/>
        <c:axId val="480299456"/>
        <c:axId val="480300112"/>
      </c:lineChart>
      <c:catAx>
        <c:axId val="480299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00112"/>
        <c:crosses val="autoZero"/>
        <c:auto val="1"/>
        <c:lblAlgn val="ctr"/>
        <c:lblOffset val="100"/>
        <c:noMultiLvlLbl val="0"/>
      </c:catAx>
      <c:valAx>
        <c:axId val="48030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299456"/>
        <c:crosses val="autoZero"/>
        <c:crossBetween val="between"/>
      </c:valAx>
      <c:valAx>
        <c:axId val="4803184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16840"/>
        <c:crosses val="max"/>
        <c:crossBetween val="between"/>
      </c:valAx>
      <c:catAx>
        <c:axId val="480316840"/>
        <c:scaling>
          <c:orientation val="minMax"/>
        </c:scaling>
        <c:delete val="1"/>
        <c:axPos val="b"/>
        <c:numFmt formatCode="General" sourceLinked="1"/>
        <c:majorTickMark val="none"/>
        <c:minorTickMark val="none"/>
        <c:tickLblPos val="nextTo"/>
        <c:crossAx val="480318480"/>
        <c:crosses val="autoZero"/>
        <c:auto val="1"/>
        <c:lblAlgn val="ctr"/>
        <c:lblOffset val="100"/>
        <c:noMultiLvlLbl val="0"/>
      </c:catAx>
      <c:spPr>
        <a:noFill/>
        <a:ln>
          <a:noFill/>
        </a:ln>
        <a:effectLst/>
      </c:spPr>
    </c:plotArea>
    <c:legend>
      <c:legendPos val="b"/>
      <c:layout>
        <c:manualLayout>
          <c:xMode val="edge"/>
          <c:yMode val="edge"/>
          <c:x val="7.2332730560578659E-3"/>
          <c:y val="0.85003069531562803"/>
          <c:w val="0.98888733844978238"/>
          <c:h val="0.104993104675474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704170414932E-2"/>
          <c:y val="3.8596480564586109E-2"/>
          <c:w val="0.81824828607316602"/>
          <c:h val="0.68658386888137346"/>
        </c:manualLayout>
      </c:layout>
      <c:barChart>
        <c:barDir val="col"/>
        <c:grouping val="clustered"/>
        <c:varyColors val="0"/>
        <c:ser>
          <c:idx val="0"/>
          <c:order val="0"/>
          <c:tx>
            <c:strRef>
              <c:f>V_Izņēmumi_Din!$B$28</c:f>
              <c:strCache>
                <c:ptCount val="1"/>
                <c:pt idx="0">
                  <c:v>10. pants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V_Izņēmumi_Din!$A$29:$A$34</c:f>
              <c:strCache>
                <c:ptCount val="6"/>
                <c:pt idx="0">
                  <c:v>2012.gads</c:v>
                </c:pt>
                <c:pt idx="1">
                  <c:v>2013.gads</c:v>
                </c:pt>
                <c:pt idx="2">
                  <c:v>2014.gads</c:v>
                </c:pt>
                <c:pt idx="3">
                  <c:v>2015.gads</c:v>
                </c:pt>
                <c:pt idx="4">
                  <c:v>2016.gads</c:v>
                </c:pt>
                <c:pt idx="5">
                  <c:v>2017.gads</c:v>
                </c:pt>
              </c:strCache>
            </c:strRef>
          </c:cat>
          <c:val>
            <c:numRef>
              <c:f>V_Izņēmumi_Din!$B$29:$B$34</c:f>
              <c:numCache>
                <c:formatCode>0.0</c:formatCode>
                <c:ptCount val="6"/>
                <c:pt idx="0">
                  <c:v>281</c:v>
                </c:pt>
                <c:pt idx="1">
                  <c:v>22.5</c:v>
                </c:pt>
                <c:pt idx="2">
                  <c:v>229.6</c:v>
                </c:pt>
                <c:pt idx="3">
                  <c:v>102.8</c:v>
                </c:pt>
                <c:pt idx="4">
                  <c:v>100.1</c:v>
                </c:pt>
                <c:pt idx="5">
                  <c:v>276.43995899999999</c:v>
                </c:pt>
              </c:numCache>
            </c:numRef>
          </c:val>
          <c:extLst>
            <c:ext xmlns:c16="http://schemas.microsoft.com/office/drawing/2014/chart" uri="{C3380CC4-5D6E-409C-BE32-E72D297353CC}">
              <c16:uniqueId val="{00000000-5B4E-4327-A4B8-164DDED8D36D}"/>
            </c:ext>
          </c:extLst>
        </c:ser>
        <c:ser>
          <c:idx val="1"/>
          <c:order val="1"/>
          <c:tx>
            <c:strRef>
              <c:f>V_Izņēmumi_Din!$C$28</c:f>
              <c:strCache>
                <c:ptCount val="1"/>
                <c:pt idx="0">
                  <c:v>11.pants</c:v>
                </c:pt>
              </c:strCache>
            </c:strRef>
          </c:tx>
          <c:spPr>
            <a:solidFill>
              <a:schemeClr val="accent2"/>
            </a:solidFill>
            <a:ln>
              <a:noFill/>
            </a:ln>
            <a:effectLst/>
          </c:spPr>
          <c:invertIfNegative val="0"/>
          <c:dLbls>
            <c:dLbl>
              <c:idx val="5"/>
              <c:layout>
                <c:manualLayout>
                  <c:x val="1.0384214293551937E-2"/>
                  <c:y val="-1.0526312881250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28-4BDD-83C1-877ED2A18C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V_Izņēmumi_Din!$A$29:$A$34</c:f>
              <c:strCache>
                <c:ptCount val="6"/>
                <c:pt idx="0">
                  <c:v>2012.gads</c:v>
                </c:pt>
                <c:pt idx="1">
                  <c:v>2013.gads</c:v>
                </c:pt>
                <c:pt idx="2">
                  <c:v>2014.gads</c:v>
                </c:pt>
                <c:pt idx="3">
                  <c:v>2015.gads</c:v>
                </c:pt>
                <c:pt idx="4">
                  <c:v>2016.gads</c:v>
                </c:pt>
                <c:pt idx="5">
                  <c:v>2017.gads</c:v>
                </c:pt>
              </c:strCache>
            </c:strRef>
          </c:cat>
          <c:val>
            <c:numRef>
              <c:f>V_Izņēmumi_Din!$C$29:$C$34</c:f>
              <c:numCache>
                <c:formatCode>General</c:formatCode>
                <c:ptCount val="6"/>
                <c:pt idx="5" formatCode="0.0">
                  <c:v>21.322962</c:v>
                </c:pt>
              </c:numCache>
            </c:numRef>
          </c:val>
          <c:extLst>
            <c:ext xmlns:c16="http://schemas.microsoft.com/office/drawing/2014/chart" uri="{C3380CC4-5D6E-409C-BE32-E72D297353CC}">
              <c16:uniqueId val="{00000001-5B4E-4327-A4B8-164DDED8D36D}"/>
            </c:ext>
          </c:extLst>
        </c:ser>
        <c:ser>
          <c:idx val="4"/>
          <c:order val="4"/>
          <c:tx>
            <c:strRef>
              <c:f>V_Izņēmumi_Din!$D$28</c:f>
              <c:strCache>
                <c:ptCount val="1"/>
                <c:pt idx="0">
                  <c:v>12.pants</c:v>
                </c:pt>
              </c:strCache>
            </c:strRef>
          </c:tx>
          <c:spPr>
            <a:solidFill>
              <a:schemeClr val="accent6">
                <a:lumMod val="60000"/>
                <a:lumOff val="40000"/>
              </a:schemeClr>
            </a:solidFill>
            <a:ln>
              <a:noFill/>
            </a:ln>
            <a:effectLst/>
          </c:spPr>
          <c:invertIfNegative val="0"/>
          <c:dLbls>
            <c:dLbl>
              <c:idx val="5"/>
              <c:layout>
                <c:manualLayout>
                  <c:x val="2.4922114304525015E-2"/>
                  <c:y val="-1.286534489996657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28-4BDD-83C1-877ED2A18C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V_Izņēmumi_Din!$D$29:$D$34</c:f>
              <c:numCache>
                <c:formatCode>0.0</c:formatCode>
                <c:ptCount val="6"/>
                <c:pt idx="0">
                  <c:v>26.9</c:v>
                </c:pt>
                <c:pt idx="1">
                  <c:v>27.5</c:v>
                </c:pt>
                <c:pt idx="2">
                  <c:v>38.9</c:v>
                </c:pt>
                <c:pt idx="3">
                  <c:v>23.7</c:v>
                </c:pt>
                <c:pt idx="4">
                  <c:v>21.3</c:v>
                </c:pt>
                <c:pt idx="5">
                  <c:v>16.661117000000001</c:v>
                </c:pt>
              </c:numCache>
            </c:numRef>
          </c:val>
          <c:extLst>
            <c:ext xmlns:c16="http://schemas.microsoft.com/office/drawing/2014/chart" uri="{C3380CC4-5D6E-409C-BE32-E72D297353CC}">
              <c16:uniqueId val="{00000006-D428-4BDD-83C1-877ED2A18C0D}"/>
            </c:ext>
          </c:extLst>
        </c:ser>
        <c:dLbls>
          <c:showLegendKey val="0"/>
          <c:showVal val="0"/>
          <c:showCatName val="0"/>
          <c:showSerName val="0"/>
          <c:showPercent val="0"/>
          <c:showBubbleSize val="0"/>
        </c:dLbls>
        <c:gapWidth val="150"/>
        <c:axId val="461389248"/>
        <c:axId val="461384000"/>
      </c:barChart>
      <c:lineChart>
        <c:grouping val="standard"/>
        <c:varyColors val="0"/>
        <c:ser>
          <c:idx val="2"/>
          <c:order val="2"/>
          <c:tx>
            <c:strRef>
              <c:f>V_Izņēmumi_Din!$E$28</c:f>
              <c:strCache>
                <c:ptCount val="1"/>
                <c:pt idx="0">
                  <c:v>Vidējā 10.panta līgumu vērtība (%)</c:v>
                </c:pt>
              </c:strCache>
            </c:strRef>
          </c:tx>
          <c:spPr>
            <a:ln w="28575" cap="rnd">
              <a:solidFill>
                <a:schemeClr val="accent3"/>
              </a:solidFill>
              <a:round/>
            </a:ln>
            <a:effectLst/>
          </c:spPr>
          <c:marker>
            <c:symbol val="none"/>
          </c:marker>
          <c:dLbls>
            <c:dLbl>
              <c:idx val="0"/>
              <c:layout>
                <c:manualLayout>
                  <c:x val="-1.1204479815703069E-2"/>
                  <c:y val="-9.9999970836987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6-4F79-BBA1-3925316BF160}"/>
                </c:ext>
              </c:extLst>
            </c:dLbl>
            <c:dLbl>
              <c:idx val="1"/>
              <c:layout>
                <c:manualLayout>
                  <c:x val="1.5686271741984299E-2"/>
                  <c:y val="-8.88888629662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D6-4F79-BBA1-3925316BF160}"/>
                </c:ext>
              </c:extLst>
            </c:dLbl>
            <c:dLbl>
              <c:idx val="2"/>
              <c:layout>
                <c:manualLayout>
                  <c:x val="2.2408959631406138E-2"/>
                  <c:y val="-5.5555539353881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D6-4F79-BBA1-3925316BF160}"/>
                </c:ext>
              </c:extLst>
            </c:dLbl>
            <c:dLbl>
              <c:idx val="3"/>
              <c:layout>
                <c:manualLayout>
                  <c:x val="4.0336127336531052E-2"/>
                  <c:y val="-4.444443148310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D6-4F79-BBA1-3925316BF160}"/>
                </c:ext>
              </c:extLst>
            </c:dLbl>
            <c:dLbl>
              <c:idx val="4"/>
              <c:layout>
                <c:manualLayout>
                  <c:x val="4.0336127336531052E-2"/>
                  <c:y val="-1.4814810494368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D6-4F79-BBA1-3925316BF1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V_Izņēmumi_Din!$A$29:$A$34</c:f>
              <c:strCache>
                <c:ptCount val="6"/>
                <c:pt idx="0">
                  <c:v>2012.gads</c:v>
                </c:pt>
                <c:pt idx="1">
                  <c:v>2013.gads</c:v>
                </c:pt>
                <c:pt idx="2">
                  <c:v>2014.gads</c:v>
                </c:pt>
                <c:pt idx="3">
                  <c:v>2015.gads</c:v>
                </c:pt>
                <c:pt idx="4">
                  <c:v>2016.gads</c:v>
                </c:pt>
                <c:pt idx="5">
                  <c:v>2017.gads</c:v>
                </c:pt>
              </c:strCache>
            </c:strRef>
          </c:cat>
          <c:val>
            <c:numRef>
              <c:f>V_Izņēmumi_Din!$E$29:$E$34</c:f>
              <c:numCache>
                <c:formatCode>0.0%</c:formatCode>
                <c:ptCount val="6"/>
                <c:pt idx="0">
                  <c:v>1.6E-2</c:v>
                </c:pt>
                <c:pt idx="1">
                  <c:v>1.4E-2</c:v>
                </c:pt>
                <c:pt idx="2">
                  <c:v>6.0000000000000001E-3</c:v>
                </c:pt>
                <c:pt idx="3">
                  <c:v>6.0000000000000001E-3</c:v>
                </c:pt>
                <c:pt idx="4">
                  <c:v>6.0000000000000001E-3</c:v>
                </c:pt>
                <c:pt idx="5">
                  <c:v>1.7609999999999999</c:v>
                </c:pt>
              </c:numCache>
            </c:numRef>
          </c:val>
          <c:smooth val="0"/>
          <c:extLst>
            <c:ext xmlns:c16="http://schemas.microsoft.com/office/drawing/2014/chart" uri="{C3380CC4-5D6E-409C-BE32-E72D297353CC}">
              <c16:uniqueId val="{00000002-5B4E-4327-A4B8-164DDED8D36D}"/>
            </c:ext>
          </c:extLst>
        </c:ser>
        <c:ser>
          <c:idx val="3"/>
          <c:order val="3"/>
          <c:tx>
            <c:strRef>
              <c:f>V_Izņēmumi_Din!$F$28</c:f>
              <c:strCache>
                <c:ptCount val="1"/>
                <c:pt idx="0">
                  <c:v>Vidējā 11.panta līgumu vērtība (%)</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V_Izņēmumi_Din!$A$29:$A$34</c:f>
              <c:strCache>
                <c:ptCount val="6"/>
                <c:pt idx="0">
                  <c:v>2012.gads</c:v>
                </c:pt>
                <c:pt idx="1">
                  <c:v>2013.gads</c:v>
                </c:pt>
                <c:pt idx="2">
                  <c:v>2014.gads</c:v>
                </c:pt>
                <c:pt idx="3">
                  <c:v>2015.gads</c:v>
                </c:pt>
                <c:pt idx="4">
                  <c:v>2016.gads</c:v>
                </c:pt>
                <c:pt idx="5">
                  <c:v>2017.gads</c:v>
                </c:pt>
              </c:strCache>
            </c:strRef>
          </c:cat>
          <c:val>
            <c:numRef>
              <c:f>V_Izņēmumi_Din!$F$29:$F$34</c:f>
              <c:numCache>
                <c:formatCode>General</c:formatCode>
                <c:ptCount val="6"/>
                <c:pt idx="5" formatCode="0.0%">
                  <c:v>0</c:v>
                </c:pt>
              </c:numCache>
            </c:numRef>
          </c:val>
          <c:smooth val="0"/>
          <c:extLst>
            <c:ext xmlns:c16="http://schemas.microsoft.com/office/drawing/2014/chart" uri="{C3380CC4-5D6E-409C-BE32-E72D297353CC}">
              <c16:uniqueId val="{00000003-5B4E-4327-A4B8-164DDED8D36D}"/>
            </c:ext>
          </c:extLst>
        </c:ser>
        <c:ser>
          <c:idx val="5"/>
          <c:order val="5"/>
          <c:tx>
            <c:strRef>
              <c:f>V_Izņēmumi_Din!$G$28</c:f>
              <c:strCache>
                <c:ptCount val="1"/>
                <c:pt idx="0">
                  <c:v>Vidējā 12.panta līgumu vērtība (%)</c:v>
                </c:pt>
              </c:strCache>
            </c:strRef>
          </c:tx>
          <c:spPr>
            <a:ln w="28575" cap="rnd">
              <a:solidFill>
                <a:schemeClr val="accent6"/>
              </a:solidFill>
              <a:round/>
            </a:ln>
            <a:effectLst/>
          </c:spPr>
          <c:marker>
            <c:symbol val="none"/>
          </c:marker>
          <c:dLbls>
            <c:dLbl>
              <c:idx val="4"/>
              <c:layout>
                <c:manualLayout>
                  <c:x val="0"/>
                  <c:y val="-9.9999970836987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39-4A17-9831-7592857F55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V_Izņēmumi_Din!$G$29:$G$34</c:f>
              <c:numCache>
                <c:formatCode>0.0%</c:formatCode>
                <c:ptCount val="6"/>
                <c:pt idx="0">
                  <c:v>0.125</c:v>
                </c:pt>
                <c:pt idx="1">
                  <c:v>8.3000000000000004E-2</c:v>
                </c:pt>
                <c:pt idx="2">
                  <c:v>0.1</c:v>
                </c:pt>
                <c:pt idx="3">
                  <c:v>0.125</c:v>
                </c:pt>
                <c:pt idx="4">
                  <c:v>1.3999999999999999E-2</c:v>
                </c:pt>
                <c:pt idx="5">
                  <c:v>-0.217</c:v>
                </c:pt>
              </c:numCache>
            </c:numRef>
          </c:val>
          <c:smooth val="0"/>
          <c:extLst>
            <c:ext xmlns:c16="http://schemas.microsoft.com/office/drawing/2014/chart" uri="{C3380CC4-5D6E-409C-BE32-E72D297353CC}">
              <c16:uniqueId val="{00000007-D428-4BDD-83C1-877ED2A18C0D}"/>
            </c:ext>
          </c:extLst>
        </c:ser>
        <c:dLbls>
          <c:showLegendKey val="0"/>
          <c:showVal val="0"/>
          <c:showCatName val="0"/>
          <c:showSerName val="0"/>
          <c:showPercent val="0"/>
          <c:showBubbleSize val="0"/>
        </c:dLbls>
        <c:marker val="1"/>
        <c:smooth val="0"/>
        <c:axId val="461387936"/>
        <c:axId val="461386624"/>
      </c:lineChart>
      <c:catAx>
        <c:axId val="46138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4000"/>
        <c:crosses val="autoZero"/>
        <c:auto val="1"/>
        <c:lblAlgn val="ctr"/>
        <c:lblOffset val="100"/>
        <c:noMultiLvlLbl val="0"/>
      </c:catAx>
      <c:valAx>
        <c:axId val="46138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9248"/>
        <c:crosses val="autoZero"/>
        <c:crossBetween val="between"/>
      </c:valAx>
      <c:valAx>
        <c:axId val="4613866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a:t>
                </a:r>
                <a:r>
                  <a:rPr lang="lv-LV" baseline="0"/>
                  <a:t> līguma vērtība, %</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7936"/>
        <c:crosses val="max"/>
        <c:crossBetween val="between"/>
      </c:valAx>
      <c:catAx>
        <c:axId val="461387936"/>
        <c:scaling>
          <c:orientation val="minMax"/>
        </c:scaling>
        <c:delete val="1"/>
        <c:axPos val="b"/>
        <c:numFmt formatCode="General" sourceLinked="1"/>
        <c:majorTickMark val="none"/>
        <c:minorTickMark val="none"/>
        <c:tickLblPos val="nextTo"/>
        <c:crossAx val="4613866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7781763965896"/>
          <c:y val="3.8877715586756477E-2"/>
          <c:w val="0.82845231328332491"/>
          <c:h val="0.72106372120151652"/>
        </c:manualLayout>
      </c:layout>
      <c:barChart>
        <c:barDir val="col"/>
        <c:grouping val="clustered"/>
        <c:varyColors val="0"/>
        <c:ser>
          <c:idx val="0"/>
          <c:order val="0"/>
          <c:tx>
            <c:strRef>
              <c:f>II_Kopējā_dinamika!$B$60</c:f>
              <c:strCache>
                <c:ptCount val="1"/>
                <c:pt idx="0">
                  <c:v>Virs ES līgumcenu sliekšņa noslēgto līgumu summu  pieauguma temps</c:v>
                </c:pt>
              </c:strCache>
            </c:strRef>
          </c:tx>
          <c:spPr>
            <a:solidFill>
              <a:schemeClr val="accent1"/>
            </a:solidFill>
            <a:ln>
              <a:noFill/>
            </a:ln>
            <a:effectLst/>
          </c:spPr>
          <c:invertIfNegative val="0"/>
          <c:dLbls>
            <c:dLbl>
              <c:idx val="1"/>
              <c:layout>
                <c:manualLayout>
                  <c:x val="-5.6979398749180387E-17"/>
                  <c:y val="-2.5641025641025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00-48AF-A60E-F488AC7B19B8}"/>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II_Kopējā_dinamika!$A$61:$A$65</c:f>
              <c:strCache>
                <c:ptCount val="5"/>
                <c:pt idx="0">
                  <c:v>2013.gads</c:v>
                </c:pt>
                <c:pt idx="1">
                  <c:v>2014.gads</c:v>
                </c:pt>
                <c:pt idx="2">
                  <c:v>2015.gads</c:v>
                </c:pt>
                <c:pt idx="3">
                  <c:v>2016.gads</c:v>
                </c:pt>
                <c:pt idx="4">
                  <c:v>2017.gads</c:v>
                </c:pt>
              </c:strCache>
            </c:strRef>
          </c:cat>
          <c:val>
            <c:numRef>
              <c:f>II_Kopējā_dinamika!$B$61:$B$65</c:f>
              <c:numCache>
                <c:formatCode>0.0%</c:formatCode>
                <c:ptCount val="5"/>
                <c:pt idx="0">
                  <c:v>-0.25614343198461054</c:v>
                </c:pt>
                <c:pt idx="1">
                  <c:v>-7.2168433944972007E-2</c:v>
                </c:pt>
                <c:pt idx="2">
                  <c:v>-0.46125038910063088</c:v>
                </c:pt>
                <c:pt idx="3">
                  <c:v>0.75981711968992183</c:v>
                </c:pt>
                <c:pt idx="4">
                  <c:v>-0.57320964362853366</c:v>
                </c:pt>
              </c:numCache>
            </c:numRef>
          </c:val>
          <c:extLst>
            <c:ext xmlns:c16="http://schemas.microsoft.com/office/drawing/2014/chart" uri="{C3380CC4-5D6E-409C-BE32-E72D297353CC}">
              <c16:uniqueId val="{00000000-B319-4F30-8B06-317FB87DA85F}"/>
            </c:ext>
          </c:extLst>
        </c:ser>
        <c:ser>
          <c:idx val="1"/>
          <c:order val="1"/>
          <c:tx>
            <c:strRef>
              <c:f>II_Kopējā_dinamika!$C$60</c:f>
              <c:strCache>
                <c:ptCount val="1"/>
                <c:pt idx="0">
                  <c:v>Zem ES līgumcenu sliekšņa noslēgto līgumu summu pieauguma temps</c:v>
                </c:pt>
              </c:strCache>
            </c:strRef>
          </c:tx>
          <c:spPr>
            <a:solidFill>
              <a:schemeClr val="accent2"/>
            </a:solidFill>
            <a:ln>
              <a:noFill/>
            </a:ln>
            <a:effectLst/>
          </c:spPr>
          <c:invertIfNegative val="0"/>
          <c:dLbls>
            <c:dLbl>
              <c:idx val="3"/>
              <c:layout>
                <c:manualLayout>
                  <c:x val="9.3240093240092095E-3"/>
                  <c:y val="-1.70940170940170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00-48AF-A60E-F488AC7B19B8}"/>
                </c:ext>
              </c:extLst>
            </c:dLbl>
            <c:spPr>
              <a:solidFill>
                <a:schemeClr val="bg1"/>
              </a:solidFill>
              <a:ln>
                <a:solidFill>
                  <a:schemeClr val="accent2"/>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II_Kopējā_dinamika!$A$61:$A$65</c:f>
              <c:strCache>
                <c:ptCount val="5"/>
                <c:pt idx="0">
                  <c:v>2013.gads</c:v>
                </c:pt>
                <c:pt idx="1">
                  <c:v>2014.gads</c:v>
                </c:pt>
                <c:pt idx="2">
                  <c:v>2015.gads</c:v>
                </c:pt>
                <c:pt idx="3">
                  <c:v>2016.gads</c:v>
                </c:pt>
                <c:pt idx="4">
                  <c:v>2017.gads</c:v>
                </c:pt>
              </c:strCache>
            </c:strRef>
          </c:cat>
          <c:val>
            <c:numRef>
              <c:f>II_Kopējā_dinamika!$C$61:$C$65</c:f>
              <c:numCache>
                <c:formatCode>0.0%</c:formatCode>
                <c:ptCount val="5"/>
                <c:pt idx="0">
                  <c:v>2.4388963133843693E-2</c:v>
                </c:pt>
                <c:pt idx="1">
                  <c:v>0.31401317810442952</c:v>
                </c:pt>
                <c:pt idx="2">
                  <c:v>0.17981119240752827</c:v>
                </c:pt>
                <c:pt idx="3">
                  <c:v>-5.3656041289584427E-2</c:v>
                </c:pt>
                <c:pt idx="4">
                  <c:v>-0.14899714080395676</c:v>
                </c:pt>
              </c:numCache>
            </c:numRef>
          </c:val>
          <c:extLst>
            <c:ext xmlns:c16="http://schemas.microsoft.com/office/drawing/2014/chart" uri="{C3380CC4-5D6E-409C-BE32-E72D297353CC}">
              <c16:uniqueId val="{00000001-B319-4F30-8B06-317FB87DA85F}"/>
            </c:ext>
          </c:extLst>
        </c:ser>
        <c:dLbls>
          <c:showLegendKey val="0"/>
          <c:showVal val="0"/>
          <c:showCatName val="0"/>
          <c:showSerName val="0"/>
          <c:showPercent val="0"/>
          <c:showBubbleSize val="0"/>
        </c:dLbls>
        <c:gapWidth val="219"/>
        <c:overlap val="-27"/>
        <c:axId val="519034408"/>
        <c:axId val="519034080"/>
      </c:barChart>
      <c:catAx>
        <c:axId val="51903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19034080"/>
        <c:crosses val="autoZero"/>
        <c:auto val="1"/>
        <c:lblAlgn val="ctr"/>
        <c:lblOffset val="100"/>
        <c:noMultiLvlLbl val="0"/>
      </c:catAx>
      <c:valAx>
        <c:axId val="519034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1903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71135985051054E-2"/>
          <c:y val="4.0854224698235839E-2"/>
          <c:w val="0.89633222076748598"/>
          <c:h val="0.73092477646422327"/>
        </c:manualLayout>
      </c:layout>
      <c:barChart>
        <c:barDir val="col"/>
        <c:grouping val="clustered"/>
        <c:varyColors val="0"/>
        <c:ser>
          <c:idx val="0"/>
          <c:order val="0"/>
          <c:tx>
            <c:strRef>
              <c:f>II_Kopējā_dinamika!$B$87</c:f>
              <c:strCache>
                <c:ptCount val="1"/>
                <c:pt idx="0">
                  <c:v>Vidējā iepirkuma vērtība, EUR</c:v>
                </c:pt>
              </c:strCache>
            </c:strRef>
          </c:tx>
          <c:spPr>
            <a:solidFill>
              <a:schemeClr val="accent1"/>
            </a:solidFill>
            <a:ln>
              <a:noFill/>
            </a:ln>
            <a:effectLst/>
          </c:spPr>
          <c:invertIfNegative val="0"/>
          <c:trendline>
            <c:spPr>
              <a:ln w="19050" cap="rnd">
                <a:solidFill>
                  <a:schemeClr val="accent1"/>
                </a:solidFill>
                <a:prstDash val="dash"/>
              </a:ln>
              <a:effectLst/>
            </c:spPr>
            <c:trendlineType val="linear"/>
            <c:dispRSqr val="0"/>
            <c:dispEq val="0"/>
          </c:trendline>
          <c:cat>
            <c:strRef>
              <c:f>II_Kopējā_dinamika!$A$88:$A$95</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II_Kopējā_dinamika!$B$88:$B$95</c:f>
              <c:numCache>
                <c:formatCode>#,##0</c:formatCode>
                <c:ptCount val="8"/>
                <c:pt idx="0">
                  <c:v>12014192</c:v>
                </c:pt>
                <c:pt idx="1">
                  <c:v>4236994</c:v>
                </c:pt>
                <c:pt idx="2">
                  <c:v>9814321</c:v>
                </c:pt>
                <c:pt idx="3">
                  <c:v>6642750</c:v>
                </c:pt>
                <c:pt idx="4">
                  <c:v>5749010</c:v>
                </c:pt>
                <c:pt idx="5">
                  <c:v>3952429</c:v>
                </c:pt>
                <c:pt idx="6">
                  <c:v>6618635</c:v>
                </c:pt>
                <c:pt idx="7">
                  <c:v>3075860</c:v>
                </c:pt>
              </c:numCache>
            </c:numRef>
          </c:val>
          <c:extLst>
            <c:ext xmlns:c16="http://schemas.microsoft.com/office/drawing/2014/chart" uri="{C3380CC4-5D6E-409C-BE32-E72D297353CC}">
              <c16:uniqueId val="{00000000-8EF2-4908-8CDF-D4E632E5F19E}"/>
            </c:ext>
          </c:extLst>
        </c:ser>
        <c:ser>
          <c:idx val="1"/>
          <c:order val="1"/>
          <c:tx>
            <c:strRef>
              <c:f>II_Kopējā_dinamika!$C$87</c:f>
              <c:strCache>
                <c:ptCount val="1"/>
                <c:pt idx="0">
                  <c:v>Vidējā līguma vērtība, EUR</c:v>
                </c:pt>
              </c:strCache>
            </c:strRef>
          </c:tx>
          <c:spPr>
            <a:solidFill>
              <a:schemeClr val="accent2"/>
            </a:solidFill>
            <a:ln>
              <a:noFill/>
            </a:ln>
            <a:effectLst/>
          </c:spPr>
          <c:invertIfNegative val="0"/>
          <c:trendline>
            <c:spPr>
              <a:ln w="19050" cap="rnd">
                <a:solidFill>
                  <a:schemeClr val="accent2"/>
                </a:solidFill>
                <a:prstDash val="dash"/>
              </a:ln>
              <a:effectLst/>
            </c:spPr>
            <c:trendlineType val="linear"/>
            <c:dispRSqr val="0"/>
            <c:dispEq val="0"/>
          </c:trendline>
          <c:cat>
            <c:strRef>
              <c:f>II_Kopējā_dinamika!$A$88:$A$95</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II_Kopējā_dinamika!$C$88:$C$95</c:f>
              <c:numCache>
                <c:formatCode>#,##0</c:formatCode>
                <c:ptCount val="8"/>
                <c:pt idx="0">
                  <c:v>8376192</c:v>
                </c:pt>
                <c:pt idx="1">
                  <c:v>3003839</c:v>
                </c:pt>
                <c:pt idx="2">
                  <c:v>6697611</c:v>
                </c:pt>
                <c:pt idx="3">
                  <c:v>1940382</c:v>
                </c:pt>
                <c:pt idx="4">
                  <c:v>4500869</c:v>
                </c:pt>
                <c:pt idx="5">
                  <c:v>1346432</c:v>
                </c:pt>
                <c:pt idx="6">
                  <c:v>4442645</c:v>
                </c:pt>
                <c:pt idx="7">
                  <c:v>1025287</c:v>
                </c:pt>
              </c:numCache>
            </c:numRef>
          </c:val>
          <c:extLst>
            <c:ext xmlns:c16="http://schemas.microsoft.com/office/drawing/2014/chart" uri="{C3380CC4-5D6E-409C-BE32-E72D297353CC}">
              <c16:uniqueId val="{00000001-8EF2-4908-8CDF-D4E632E5F19E}"/>
            </c:ext>
          </c:extLst>
        </c:ser>
        <c:dLbls>
          <c:showLegendKey val="0"/>
          <c:showVal val="0"/>
          <c:showCatName val="0"/>
          <c:showSerName val="0"/>
          <c:showPercent val="0"/>
          <c:showBubbleSize val="0"/>
        </c:dLbls>
        <c:gapWidth val="219"/>
        <c:overlap val="-27"/>
        <c:axId val="398856848"/>
        <c:axId val="398859144"/>
      </c:barChart>
      <c:catAx>
        <c:axId val="39885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9144"/>
        <c:crosses val="autoZero"/>
        <c:auto val="1"/>
        <c:lblAlgn val="ctr"/>
        <c:lblOffset val="100"/>
        <c:noMultiLvlLbl val="0"/>
      </c:catAx>
      <c:valAx>
        <c:axId val="39885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II_Kopējā_dinamika!$B$118</c:f>
              <c:strCache>
                <c:ptCount val="1"/>
                <c:pt idx="0">
                  <c:v>Vidējā iepirkuma vērtība, EUR</c:v>
                </c:pt>
              </c:strCache>
            </c:strRef>
          </c:tx>
          <c:spPr>
            <a:solidFill>
              <a:schemeClr val="accent1"/>
            </a:solidFill>
            <a:ln>
              <a:noFill/>
            </a:ln>
            <a:effectLst/>
          </c:spPr>
          <c:invertIfNegative val="0"/>
          <c:dLbls>
            <c:dLbl>
              <c:idx val="3"/>
              <c:layout>
                <c:manualLayout>
                  <c:x val="-8.2861566316604703E-17"/>
                  <c:y val="-3.70370370370370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44-4D8F-870C-B3B9EF9408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II_Kopējā_dinamika!$A$119:$A$125</c:f>
              <c:strCache>
                <c:ptCount val="7"/>
                <c:pt idx="0">
                  <c:v>2011.gads</c:v>
                </c:pt>
                <c:pt idx="1">
                  <c:v>2012.gads</c:v>
                </c:pt>
                <c:pt idx="2">
                  <c:v>2013.gads</c:v>
                </c:pt>
                <c:pt idx="3">
                  <c:v>2014.gads</c:v>
                </c:pt>
                <c:pt idx="4">
                  <c:v>2015.gads</c:v>
                </c:pt>
                <c:pt idx="5">
                  <c:v>2016.gads</c:v>
                </c:pt>
                <c:pt idx="6">
                  <c:v>2017.gads</c:v>
                </c:pt>
              </c:strCache>
            </c:strRef>
          </c:cat>
          <c:val>
            <c:numRef>
              <c:f>II_Kopējā_dinamika!$B$119:$B$125</c:f>
              <c:numCache>
                <c:formatCode>0.0%</c:formatCode>
                <c:ptCount val="7"/>
                <c:pt idx="0">
                  <c:v>-0.64733425269048472</c:v>
                </c:pt>
                <c:pt idx="1">
                  <c:v>1.3163405470954173</c:v>
                </c:pt>
                <c:pt idx="2">
                  <c:v>-0.32315745531453477</c:v>
                </c:pt>
                <c:pt idx="3">
                  <c:v>-0.13454367543562532</c:v>
                </c:pt>
                <c:pt idx="4">
                  <c:v>-0.31250267437350082</c:v>
                </c:pt>
                <c:pt idx="5">
                  <c:v>0.67457404041919533</c:v>
                </c:pt>
                <c:pt idx="6">
                  <c:v>-0.53527275639161243</c:v>
                </c:pt>
              </c:numCache>
            </c:numRef>
          </c:val>
          <c:extLst>
            <c:ext xmlns:c16="http://schemas.microsoft.com/office/drawing/2014/chart" uri="{C3380CC4-5D6E-409C-BE32-E72D297353CC}">
              <c16:uniqueId val="{00000000-8844-4D8F-870C-B3B9EF940860}"/>
            </c:ext>
          </c:extLst>
        </c:ser>
        <c:ser>
          <c:idx val="1"/>
          <c:order val="1"/>
          <c:tx>
            <c:strRef>
              <c:f>II_Kopējā_dinamika!$C$118</c:f>
              <c:strCache>
                <c:ptCount val="1"/>
                <c:pt idx="0">
                  <c:v>Vidējā līguma vērtība, 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II_Kopējā_dinamika!$A$119:$A$125</c:f>
              <c:strCache>
                <c:ptCount val="7"/>
                <c:pt idx="0">
                  <c:v>2011.gads</c:v>
                </c:pt>
                <c:pt idx="1">
                  <c:v>2012.gads</c:v>
                </c:pt>
                <c:pt idx="2">
                  <c:v>2013.gads</c:v>
                </c:pt>
                <c:pt idx="3">
                  <c:v>2014.gads</c:v>
                </c:pt>
                <c:pt idx="4">
                  <c:v>2015.gads</c:v>
                </c:pt>
                <c:pt idx="5">
                  <c:v>2016.gads</c:v>
                </c:pt>
                <c:pt idx="6">
                  <c:v>2017.gads</c:v>
                </c:pt>
              </c:strCache>
            </c:strRef>
          </c:cat>
          <c:val>
            <c:numRef>
              <c:f>II_Kopējā_dinamika!$C$119:$C$125</c:f>
              <c:numCache>
                <c:formatCode>0.0%</c:formatCode>
                <c:ptCount val="7"/>
                <c:pt idx="0">
                  <c:v>-0.64138369798591055</c:v>
                </c:pt>
                <c:pt idx="1">
                  <c:v>1.229683748030437</c:v>
                </c:pt>
                <c:pt idx="2">
                  <c:v>-0.71028744428423807</c:v>
                </c:pt>
                <c:pt idx="3">
                  <c:v>1.3195788252003986</c:v>
                </c:pt>
                <c:pt idx="4">
                  <c:v>-0.70085065795072021</c:v>
                </c:pt>
                <c:pt idx="5">
                  <c:v>2.2995687862439396</c:v>
                </c:pt>
                <c:pt idx="6">
                  <c:v>-0.76921698672750127</c:v>
                </c:pt>
              </c:numCache>
            </c:numRef>
          </c:val>
          <c:extLst>
            <c:ext xmlns:c16="http://schemas.microsoft.com/office/drawing/2014/chart" uri="{C3380CC4-5D6E-409C-BE32-E72D297353CC}">
              <c16:uniqueId val="{00000001-8844-4D8F-870C-B3B9EF940860}"/>
            </c:ext>
          </c:extLst>
        </c:ser>
        <c:dLbls>
          <c:showLegendKey val="0"/>
          <c:showVal val="0"/>
          <c:showCatName val="0"/>
          <c:showSerName val="0"/>
          <c:showPercent val="0"/>
          <c:showBubbleSize val="0"/>
        </c:dLbls>
        <c:gapWidth val="219"/>
        <c:overlap val="-27"/>
        <c:axId val="396196176"/>
        <c:axId val="396191584"/>
      </c:barChart>
      <c:catAx>
        <c:axId val="39619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96191584"/>
        <c:crosses val="autoZero"/>
        <c:auto val="1"/>
        <c:lblAlgn val="ctr"/>
        <c:lblOffset val="100"/>
        <c:noMultiLvlLbl val="0"/>
      </c:catAx>
      <c:valAx>
        <c:axId val="396191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19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II_Kopējā_dinamika!$B$149</c:f>
              <c:strCache>
                <c:ptCount val="1"/>
                <c:pt idx="0">
                  <c:v>Būvdarbi</c:v>
                </c:pt>
              </c:strCache>
            </c:strRef>
          </c:tx>
          <c:spPr>
            <a:solidFill>
              <a:schemeClr val="accent1"/>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II_Kopējā_dinamika!$A$150:$A$157</c:f>
              <c:strCache>
                <c:ptCount val="8"/>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pt idx="7">
                  <c:v>2017.gads (n=923,3 milj.EUR)</c:v>
                </c:pt>
              </c:strCache>
            </c:strRef>
          </c:cat>
          <c:val>
            <c:numRef>
              <c:f>II_Kopējā_dinamika!$B$150:$B$157</c:f>
              <c:numCache>
                <c:formatCode>0.0%</c:formatCode>
                <c:ptCount val="8"/>
                <c:pt idx="0">
                  <c:v>0.505</c:v>
                </c:pt>
                <c:pt idx="1">
                  <c:v>0.34200000000000003</c:v>
                </c:pt>
                <c:pt idx="2">
                  <c:v>0.36499999999999999</c:v>
                </c:pt>
                <c:pt idx="3">
                  <c:v>0.29699999999999999</c:v>
                </c:pt>
                <c:pt idx="4">
                  <c:v>0.32400000000000001</c:v>
                </c:pt>
                <c:pt idx="5">
                  <c:v>0.22600000000000001</c:v>
                </c:pt>
                <c:pt idx="6">
                  <c:v>0.2</c:v>
                </c:pt>
                <c:pt idx="7">
                  <c:v>0.28299999999999997</c:v>
                </c:pt>
              </c:numCache>
            </c:numRef>
          </c:val>
          <c:extLst>
            <c:ext xmlns:c16="http://schemas.microsoft.com/office/drawing/2014/chart" uri="{C3380CC4-5D6E-409C-BE32-E72D297353CC}">
              <c16:uniqueId val="{00000000-339A-4839-8A98-48C4558724F2}"/>
            </c:ext>
          </c:extLst>
        </c:ser>
        <c:ser>
          <c:idx val="1"/>
          <c:order val="1"/>
          <c:tx>
            <c:strRef>
              <c:f>II_Kopējā_dinamika!$C$149</c:f>
              <c:strCache>
                <c:ptCount val="1"/>
                <c:pt idx="0">
                  <c:v>Preces</c:v>
                </c:pt>
              </c:strCache>
            </c:strRef>
          </c:tx>
          <c:spPr>
            <a:solidFill>
              <a:schemeClr val="accent2"/>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II_Kopējā_dinamika!$A$150:$A$157</c:f>
              <c:strCache>
                <c:ptCount val="8"/>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pt idx="7">
                  <c:v>2017.gads (n=923,3 milj.EUR)</c:v>
                </c:pt>
              </c:strCache>
            </c:strRef>
          </c:cat>
          <c:val>
            <c:numRef>
              <c:f>II_Kopējā_dinamika!$C$150:$C$157</c:f>
              <c:numCache>
                <c:formatCode>0.0%</c:formatCode>
                <c:ptCount val="8"/>
                <c:pt idx="0">
                  <c:v>0.19</c:v>
                </c:pt>
                <c:pt idx="1">
                  <c:v>0.43</c:v>
                </c:pt>
                <c:pt idx="2">
                  <c:v>0.51600000000000001</c:v>
                </c:pt>
                <c:pt idx="3">
                  <c:v>0.53500000000000003</c:v>
                </c:pt>
                <c:pt idx="4">
                  <c:v>0.36599999999999999</c:v>
                </c:pt>
                <c:pt idx="5">
                  <c:v>0.39800000000000002</c:v>
                </c:pt>
                <c:pt idx="6">
                  <c:v>0.38</c:v>
                </c:pt>
                <c:pt idx="7">
                  <c:v>0.35099999999999998</c:v>
                </c:pt>
              </c:numCache>
            </c:numRef>
          </c:val>
          <c:extLst>
            <c:ext xmlns:c16="http://schemas.microsoft.com/office/drawing/2014/chart" uri="{C3380CC4-5D6E-409C-BE32-E72D297353CC}">
              <c16:uniqueId val="{00000001-339A-4839-8A98-48C4558724F2}"/>
            </c:ext>
          </c:extLst>
        </c:ser>
        <c:ser>
          <c:idx val="2"/>
          <c:order val="2"/>
          <c:tx>
            <c:strRef>
              <c:f>II_Kopējā_dinamika!$D$149</c:f>
              <c:strCache>
                <c:ptCount val="1"/>
                <c:pt idx="0">
                  <c:v>Pakalpojumi</c:v>
                </c:pt>
              </c:strCache>
            </c:strRef>
          </c:tx>
          <c:spPr>
            <a:solidFill>
              <a:schemeClr val="accent3"/>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II_Kopējā_dinamika!$A$150:$A$157</c:f>
              <c:strCache>
                <c:ptCount val="8"/>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pt idx="7">
                  <c:v>2017.gads (n=923,3 milj.EUR)</c:v>
                </c:pt>
              </c:strCache>
            </c:strRef>
          </c:cat>
          <c:val>
            <c:numRef>
              <c:f>II_Kopējā_dinamika!$D$150:$D$157</c:f>
              <c:numCache>
                <c:formatCode>0.0%</c:formatCode>
                <c:ptCount val="8"/>
                <c:pt idx="0">
                  <c:v>0.30499999999999999</c:v>
                </c:pt>
                <c:pt idx="1">
                  <c:v>0.22800000000000001</c:v>
                </c:pt>
                <c:pt idx="2">
                  <c:v>0.11899999999999999</c:v>
                </c:pt>
                <c:pt idx="3">
                  <c:v>0.16800000000000001</c:v>
                </c:pt>
                <c:pt idx="4">
                  <c:v>0.31</c:v>
                </c:pt>
                <c:pt idx="5">
                  <c:v>0.376</c:v>
                </c:pt>
                <c:pt idx="6">
                  <c:v>0.42</c:v>
                </c:pt>
                <c:pt idx="7">
                  <c:v>0.36599999999999999</c:v>
                </c:pt>
              </c:numCache>
            </c:numRef>
          </c:val>
          <c:extLst>
            <c:ext xmlns:c16="http://schemas.microsoft.com/office/drawing/2014/chart" uri="{C3380CC4-5D6E-409C-BE32-E72D297353CC}">
              <c16:uniqueId val="{00000002-339A-4839-8A98-48C4558724F2}"/>
            </c:ext>
          </c:extLst>
        </c:ser>
        <c:dLbls>
          <c:showLegendKey val="0"/>
          <c:showVal val="0"/>
          <c:showCatName val="0"/>
          <c:showSerName val="0"/>
          <c:showPercent val="0"/>
          <c:showBubbleSize val="0"/>
        </c:dLbls>
        <c:gapWidth val="150"/>
        <c:overlap val="100"/>
        <c:axId val="487226744"/>
        <c:axId val="487221824"/>
      </c:barChart>
      <c:catAx>
        <c:axId val="48722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1824"/>
        <c:crosses val="autoZero"/>
        <c:auto val="1"/>
        <c:lblAlgn val="ctr"/>
        <c:lblOffset val="100"/>
        <c:noMultiLvlLbl val="0"/>
      </c:catAx>
      <c:valAx>
        <c:axId val="4872218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II_Kopējā_dinamika!$A$172:$B$172</c:f>
              <c:strCache>
                <c:ptCount val="2"/>
                <c:pt idx="0">
                  <c:v>Būvdarbu iepirkumi (milj.EUR)</c:v>
                </c:pt>
              </c:strCache>
            </c:strRef>
          </c:tx>
          <c:spPr>
            <a:ln w="28575" cap="rnd">
              <a:solidFill>
                <a:schemeClr val="accent1"/>
              </a:solidFill>
              <a:round/>
            </a:ln>
            <a:effectLst/>
          </c:spPr>
          <c:marker>
            <c:symbol val="none"/>
          </c:marker>
          <c:dLbls>
            <c:dLbl>
              <c:idx val="1"/>
              <c:layout>
                <c:manualLayout>
                  <c:x val="2.71709154785027E-2"/>
                  <c:y val="-5.783573928258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18-4545-B789-9865CDF5B496}"/>
                </c:ext>
              </c:extLst>
            </c:dLbl>
            <c:dLbl>
              <c:idx val="4"/>
              <c:layout>
                <c:manualLayout>
                  <c:x val="3.1604276133439267E-2"/>
                  <c:y val="-0.173576480023330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18-4545-B789-9865CDF5B496}"/>
                </c:ext>
              </c:extLst>
            </c:dLbl>
            <c:dLbl>
              <c:idx val="5"/>
              <c:layout>
                <c:manualLayout>
                  <c:x val="-6.371297794769612E-2"/>
                  <c:y val="9.0312408865558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18-4545-B789-9865CDF5B496}"/>
                </c:ext>
              </c:extLst>
            </c:dLbl>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II_Kopējā_dinamika!$C$171:$J$171</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II_Kopējā_dinamika!$C$172:$J$172</c:f>
              <c:numCache>
                <c:formatCode>General</c:formatCode>
                <c:ptCount val="8"/>
                <c:pt idx="0">
                  <c:v>676.2</c:v>
                </c:pt>
                <c:pt idx="1">
                  <c:v>296.8</c:v>
                </c:pt>
                <c:pt idx="2">
                  <c:v>546.20000000000005</c:v>
                </c:pt>
                <c:pt idx="3">
                  <c:v>372.6</c:v>
                </c:pt>
                <c:pt idx="4">
                  <c:v>442.7</c:v>
                </c:pt>
                <c:pt idx="5">
                  <c:v>264.8</c:v>
                </c:pt>
                <c:pt idx="6" formatCode="0.0">
                  <c:v>281</c:v>
                </c:pt>
                <c:pt idx="7">
                  <c:v>261.60000000000002</c:v>
                </c:pt>
              </c:numCache>
            </c:numRef>
          </c:val>
          <c:smooth val="0"/>
          <c:extLst>
            <c:ext xmlns:c16="http://schemas.microsoft.com/office/drawing/2014/chart" uri="{C3380CC4-5D6E-409C-BE32-E72D297353CC}">
              <c16:uniqueId val="{00000000-5318-4545-B789-9865CDF5B496}"/>
            </c:ext>
          </c:extLst>
        </c:ser>
        <c:ser>
          <c:idx val="1"/>
          <c:order val="1"/>
          <c:tx>
            <c:strRef>
              <c:f>II_Kopējā_dinamika!$A$173:$B$173</c:f>
              <c:strCache>
                <c:ptCount val="2"/>
                <c:pt idx="0">
                  <c:v>Preču iepirkumi (milj.EUR)</c:v>
                </c:pt>
              </c:strCache>
            </c:strRef>
          </c:tx>
          <c:spPr>
            <a:ln w="28575" cap="rnd">
              <a:solidFill>
                <a:schemeClr val="accent2"/>
              </a:solidFill>
              <a:round/>
            </a:ln>
            <a:effectLst/>
          </c:spPr>
          <c:marker>
            <c:symbol val="none"/>
          </c:marker>
          <c:dLbls>
            <c:dLbl>
              <c:idx val="0"/>
              <c:layout>
                <c:manualLayout>
                  <c:x val="-9.474650253225185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18-4545-B789-9865CDF5B496}"/>
                </c:ext>
              </c:extLst>
            </c:dLbl>
            <c:dLbl>
              <c:idx val="4"/>
              <c:layout>
                <c:manualLayout>
                  <c:x val="-7.0363018930100996E-2"/>
                  <c:y val="-0.1319098133566637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18-4545-B789-9865CDF5B496}"/>
                </c:ext>
              </c:extLst>
            </c:dLbl>
            <c:spPr>
              <a:solidFill>
                <a:schemeClr val="accent2">
                  <a:lumMod val="20000"/>
                  <a:lumOff val="80000"/>
                </a:schemeClr>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cmpd="dbl">
                <a:solidFill>
                  <a:schemeClr val="accent2"/>
                </a:solidFill>
                <a:prstDash val="sysDot"/>
              </a:ln>
              <a:effectLst/>
            </c:spPr>
            <c:trendlineType val="linear"/>
            <c:dispRSqr val="0"/>
            <c:dispEq val="0"/>
          </c:trendline>
          <c:cat>
            <c:strRef>
              <c:f>II_Kopējā_dinamika!$C$171:$J$171</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II_Kopējā_dinamika!$C$173:$J$173</c:f>
              <c:numCache>
                <c:formatCode>General</c:formatCode>
                <c:ptCount val="8"/>
                <c:pt idx="0">
                  <c:v>253.2</c:v>
                </c:pt>
                <c:pt idx="1">
                  <c:v>372.5</c:v>
                </c:pt>
                <c:pt idx="2">
                  <c:v>772.1</c:v>
                </c:pt>
                <c:pt idx="3">
                  <c:v>671.5</c:v>
                </c:pt>
                <c:pt idx="4">
                  <c:v>499.6</c:v>
                </c:pt>
                <c:pt idx="5">
                  <c:v>465.2</c:v>
                </c:pt>
                <c:pt idx="6">
                  <c:v>534.79999999999995</c:v>
                </c:pt>
                <c:pt idx="7">
                  <c:v>323.8</c:v>
                </c:pt>
              </c:numCache>
            </c:numRef>
          </c:val>
          <c:smooth val="0"/>
          <c:extLst>
            <c:ext xmlns:c16="http://schemas.microsoft.com/office/drawing/2014/chart" uri="{C3380CC4-5D6E-409C-BE32-E72D297353CC}">
              <c16:uniqueId val="{00000001-5318-4545-B789-9865CDF5B496}"/>
            </c:ext>
          </c:extLst>
        </c:ser>
        <c:ser>
          <c:idx val="2"/>
          <c:order val="2"/>
          <c:tx>
            <c:strRef>
              <c:f>II_Kopējā_dinamika!$A$174:$B$174</c:f>
              <c:strCache>
                <c:ptCount val="2"/>
                <c:pt idx="0">
                  <c:v>Pakalpojumu iepirkumi (milj.EUR)</c:v>
                </c:pt>
              </c:strCache>
            </c:strRef>
          </c:tx>
          <c:spPr>
            <a:ln w="28575" cap="rnd">
              <a:solidFill>
                <a:schemeClr val="accent3"/>
              </a:solidFill>
              <a:round/>
            </a:ln>
            <a:effectLst/>
          </c:spPr>
          <c:marker>
            <c:symbol val="none"/>
          </c:marker>
          <c:dLbls>
            <c:dLbl>
              <c:idx val="0"/>
              <c:layout>
                <c:manualLayout>
                  <c:x val="-8.4987523755133298E-2"/>
                  <c:y val="-4.394685039370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18-4545-B789-9865CDF5B496}"/>
                </c:ext>
              </c:extLst>
            </c:dLbl>
            <c:dLbl>
              <c:idx val="1"/>
              <c:layout>
                <c:manualLayout>
                  <c:x val="-4.154617467301347E-2"/>
                  <c:y val="7.6423519976669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18-4545-B789-9865CDF5B496}"/>
                </c:ext>
              </c:extLst>
            </c:dLbl>
            <c:dLbl>
              <c:idx val="2"/>
              <c:layout>
                <c:manualLayout>
                  <c:x val="-4.154617467301347E-2"/>
                  <c:y val="6.716426071741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18-4545-B789-9865CDF5B496}"/>
                </c:ext>
              </c:extLst>
            </c:dLbl>
            <c:dLbl>
              <c:idx val="3"/>
              <c:layout>
                <c:manualLayout>
                  <c:x val="-2.3812732053267352E-2"/>
                  <c:y val="7.6423519976669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18-4545-B789-9865CDF5B496}"/>
                </c:ext>
              </c:extLst>
            </c:dLbl>
            <c:dLbl>
              <c:idx val="4"/>
              <c:layout>
                <c:manualLayout>
                  <c:x val="-3.4896133690608837E-2"/>
                  <c:y val="0.1366087051618547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18-4545-B789-9865CDF5B496}"/>
                </c:ext>
              </c:extLst>
            </c:dLbl>
            <c:dLbl>
              <c:idx val="5"/>
              <c:layout>
                <c:manualLayout>
                  <c:x val="1.8304194168629679E-2"/>
                  <c:y val="0.1366087051618546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18-4545-B789-9865CDF5B496}"/>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strRef>
              <c:f>II_Kopējā_dinamika!$C$171:$J$171</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II_Kopējā_dinamika!$C$174:$J$174</c:f>
              <c:numCache>
                <c:formatCode>General</c:formatCode>
                <c:ptCount val="8"/>
                <c:pt idx="0">
                  <c:v>408</c:v>
                </c:pt>
                <c:pt idx="1">
                  <c:v>197.7</c:v>
                </c:pt>
                <c:pt idx="2">
                  <c:v>178.1</c:v>
                </c:pt>
                <c:pt idx="3">
                  <c:v>210.7</c:v>
                </c:pt>
                <c:pt idx="4">
                  <c:v>422.1</c:v>
                </c:pt>
                <c:pt idx="5">
                  <c:v>440.2</c:v>
                </c:pt>
                <c:pt idx="6">
                  <c:v>592.20000000000005</c:v>
                </c:pt>
                <c:pt idx="7">
                  <c:v>337.9</c:v>
                </c:pt>
              </c:numCache>
            </c:numRef>
          </c:val>
          <c:smooth val="0"/>
          <c:extLst>
            <c:ext xmlns:c16="http://schemas.microsoft.com/office/drawing/2014/chart" uri="{C3380CC4-5D6E-409C-BE32-E72D297353CC}">
              <c16:uniqueId val="{00000002-5318-4545-B789-9865CDF5B496}"/>
            </c:ext>
          </c:extLst>
        </c:ser>
        <c:dLbls>
          <c:dLblPos val="t"/>
          <c:showLegendKey val="0"/>
          <c:showVal val="1"/>
          <c:showCatName val="0"/>
          <c:showSerName val="0"/>
          <c:showPercent val="0"/>
          <c:showBubbleSize val="0"/>
        </c:dLbls>
        <c:smooth val="0"/>
        <c:axId val="396206672"/>
        <c:axId val="398647160"/>
      </c:lineChart>
      <c:catAx>
        <c:axId val="39620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647160"/>
        <c:crosses val="autoZero"/>
        <c:auto val="1"/>
        <c:lblAlgn val="ctr"/>
        <c:lblOffset val="100"/>
        <c:noMultiLvlLbl val="0"/>
      </c:catAx>
      <c:valAx>
        <c:axId val="39864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20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II_Kopējā_dinamika!$A$204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II_Kopējā_dinamika!$B$204:$H$204</c:f>
              <c:numCache>
                <c:formatCode>General</c:formatCode>
                <c:ptCount val="7"/>
              </c:numCache>
            </c:numRef>
          </c:val>
          <c:extLst>
            <c:ext xmlns:c16="http://schemas.microsoft.com/office/drawing/2014/chart" uri="{C3380CC4-5D6E-409C-BE32-E72D297353CC}">
              <c16:uniqueId val="{00000000-E894-4B42-8F67-85690C8624FD}"/>
            </c:ext>
          </c:extLst>
        </c:ser>
        <c:ser>
          <c:idx val="1"/>
          <c:order val="1"/>
          <c:tx>
            <c:strRef>
              <c:f>II_Kopējā_dinamika!$A$205</c:f>
              <c:strCache>
                <c:ptCount val="1"/>
                <c:pt idx="0">
                  <c:v>Siltumapgāde, gāze</c:v>
                </c:pt>
              </c:strCache>
            </c:strRef>
          </c:tx>
          <c:spPr>
            <a:solidFill>
              <a:schemeClr val="accent6">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II_Kopējā_dinamika!$B$205:$I$205</c:f>
              <c:numCache>
                <c:formatCode>0.0%</c:formatCode>
                <c:ptCount val="8"/>
                <c:pt idx="0">
                  <c:v>0.14000000000000001</c:v>
                </c:pt>
                <c:pt idx="1">
                  <c:v>0.317</c:v>
                </c:pt>
                <c:pt idx="2">
                  <c:v>0.126</c:v>
                </c:pt>
                <c:pt idx="3">
                  <c:v>0.113</c:v>
                </c:pt>
                <c:pt idx="4">
                  <c:v>6.4000000000000001E-2</c:v>
                </c:pt>
                <c:pt idx="5">
                  <c:v>9.8000000000000004E-2</c:v>
                </c:pt>
                <c:pt idx="6">
                  <c:v>5.5E-2</c:v>
                </c:pt>
                <c:pt idx="7">
                  <c:v>0.22700000000000001</c:v>
                </c:pt>
              </c:numCache>
            </c:numRef>
          </c:val>
          <c:extLst>
            <c:ext xmlns:c16="http://schemas.microsoft.com/office/drawing/2014/chart" uri="{C3380CC4-5D6E-409C-BE32-E72D297353CC}">
              <c16:uniqueId val="{00000001-E894-4B42-8F67-85690C8624FD}"/>
            </c:ext>
          </c:extLst>
        </c:ser>
        <c:ser>
          <c:idx val="2"/>
          <c:order val="2"/>
          <c:tx>
            <c:strRef>
              <c:f>II_Kopējā_dinamika!$A$206</c:f>
              <c:strCache>
                <c:ptCount val="1"/>
                <c:pt idx="0">
                  <c:v>Elektroenerģija</c:v>
                </c:pt>
              </c:strCache>
            </c:strRef>
          </c:tx>
          <c:spPr>
            <a:solidFill>
              <a:schemeClr val="accent5">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II_Kopējā_dinamika!$B$206:$I$206</c:f>
              <c:numCache>
                <c:formatCode>0.0%</c:formatCode>
                <c:ptCount val="8"/>
                <c:pt idx="0">
                  <c:v>0.56599999999999995</c:v>
                </c:pt>
                <c:pt idx="1">
                  <c:v>0.217</c:v>
                </c:pt>
                <c:pt idx="2">
                  <c:v>0.17</c:v>
                </c:pt>
                <c:pt idx="3">
                  <c:v>0.193</c:v>
                </c:pt>
                <c:pt idx="4">
                  <c:v>0.48799999999999999</c:v>
                </c:pt>
                <c:pt idx="5">
                  <c:v>0.501</c:v>
                </c:pt>
                <c:pt idx="6">
                  <c:v>0.52100000000000002</c:v>
                </c:pt>
                <c:pt idx="7">
                  <c:v>0.29499999999999998</c:v>
                </c:pt>
              </c:numCache>
            </c:numRef>
          </c:val>
          <c:extLst>
            <c:ext xmlns:c16="http://schemas.microsoft.com/office/drawing/2014/chart" uri="{C3380CC4-5D6E-409C-BE32-E72D297353CC}">
              <c16:uniqueId val="{00000002-E894-4B42-8F67-85690C8624FD}"/>
            </c:ext>
          </c:extLst>
        </c:ser>
        <c:ser>
          <c:idx val="3"/>
          <c:order val="3"/>
          <c:tx>
            <c:strRef>
              <c:f>II_Kopējā_dinamika!$A$207</c:f>
              <c:strCache>
                <c:ptCount val="1"/>
                <c:pt idx="0">
                  <c:v>Ūdensapgāde</c:v>
                </c:pt>
              </c:strCache>
            </c:strRef>
          </c:tx>
          <c:spPr>
            <a:solidFill>
              <a:schemeClr val="accent4">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II_Kopējā_dinamika!$B$207:$I$207</c:f>
              <c:numCache>
                <c:formatCode>0.0%</c:formatCode>
                <c:ptCount val="8"/>
                <c:pt idx="0">
                  <c:v>4.2000000000000003E-2</c:v>
                </c:pt>
                <c:pt idx="1">
                  <c:v>7.0000000000000007E-2</c:v>
                </c:pt>
                <c:pt idx="2">
                  <c:v>0.06</c:v>
                </c:pt>
                <c:pt idx="3">
                  <c:v>9.0999999999999998E-2</c:v>
                </c:pt>
                <c:pt idx="4">
                  <c:v>8.1000000000000003E-2</c:v>
                </c:pt>
                <c:pt idx="5">
                  <c:v>8.5000000000000006E-2</c:v>
                </c:pt>
                <c:pt idx="6">
                  <c:v>4.7E-2</c:v>
                </c:pt>
                <c:pt idx="7">
                  <c:v>0.13700000000000001</c:v>
                </c:pt>
              </c:numCache>
            </c:numRef>
          </c:val>
          <c:extLst>
            <c:ext xmlns:c16="http://schemas.microsoft.com/office/drawing/2014/chart" uri="{C3380CC4-5D6E-409C-BE32-E72D297353CC}">
              <c16:uniqueId val="{00000003-E894-4B42-8F67-85690C8624FD}"/>
            </c:ext>
          </c:extLst>
        </c:ser>
        <c:ser>
          <c:idx val="4"/>
          <c:order val="4"/>
          <c:tx>
            <c:strRef>
              <c:f>II_Kopējā_dinamika!$A$208</c:f>
              <c:strCache>
                <c:ptCount val="1"/>
                <c:pt idx="0">
                  <c:v>Dzelzceļa pakalpojumi</c:v>
                </c:pt>
              </c:strCache>
            </c:strRef>
          </c:tx>
          <c:spPr>
            <a:solidFill>
              <a:schemeClr val="accent3">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II_Kopējā_dinamika!$B$208:$I$208</c:f>
              <c:numCache>
                <c:formatCode>0.0%</c:formatCode>
                <c:ptCount val="8"/>
                <c:pt idx="0">
                  <c:v>0.14499999999999999</c:v>
                </c:pt>
                <c:pt idx="1">
                  <c:v>0.189</c:v>
                </c:pt>
                <c:pt idx="2">
                  <c:v>0.36899999999999999</c:v>
                </c:pt>
                <c:pt idx="3">
                  <c:v>0.16800000000000001</c:v>
                </c:pt>
                <c:pt idx="4">
                  <c:v>0.19500000000000001</c:v>
                </c:pt>
                <c:pt idx="5">
                  <c:v>9.0999999999999998E-2</c:v>
                </c:pt>
                <c:pt idx="6">
                  <c:v>8.3000000000000004E-2</c:v>
                </c:pt>
                <c:pt idx="7">
                  <c:v>0.11600000000000001</c:v>
                </c:pt>
              </c:numCache>
            </c:numRef>
          </c:val>
          <c:extLst>
            <c:ext xmlns:c16="http://schemas.microsoft.com/office/drawing/2014/chart" uri="{C3380CC4-5D6E-409C-BE32-E72D297353CC}">
              <c16:uniqueId val="{00000004-E894-4B42-8F67-85690C8624FD}"/>
            </c:ext>
          </c:extLst>
        </c:ser>
        <c:ser>
          <c:idx val="5"/>
          <c:order val="5"/>
          <c:tx>
            <c:strRef>
              <c:f>II_Kopējā_dinamika!$A$209</c:f>
              <c:strCache>
                <c:ptCount val="1"/>
                <c:pt idx="0">
                  <c:v>Pasažieru pārvadājumi</c:v>
                </c:pt>
              </c:strCache>
            </c:strRef>
          </c:tx>
          <c:spPr>
            <a:solidFill>
              <a:schemeClr val="accent2">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II_Kopējā_dinamika!$B$209:$I$209</c:f>
              <c:numCache>
                <c:formatCode>0.0%</c:formatCode>
                <c:ptCount val="8"/>
                <c:pt idx="0">
                  <c:v>5.2999999999999999E-2</c:v>
                </c:pt>
                <c:pt idx="1">
                  <c:v>0.109</c:v>
                </c:pt>
                <c:pt idx="2">
                  <c:v>6.9000000000000006E-2</c:v>
                </c:pt>
                <c:pt idx="3">
                  <c:v>0.312</c:v>
                </c:pt>
                <c:pt idx="4">
                  <c:v>7.3999999999999996E-2</c:v>
                </c:pt>
                <c:pt idx="5">
                  <c:v>0.13600000000000001</c:v>
                </c:pt>
                <c:pt idx="6">
                  <c:v>0.246</c:v>
                </c:pt>
                <c:pt idx="7">
                  <c:v>0.14199999999999999</c:v>
                </c:pt>
              </c:numCache>
            </c:numRef>
          </c:val>
          <c:extLst>
            <c:ext xmlns:c16="http://schemas.microsoft.com/office/drawing/2014/chart" uri="{C3380CC4-5D6E-409C-BE32-E72D297353CC}">
              <c16:uniqueId val="{00000005-E894-4B42-8F67-85690C8624FD}"/>
            </c:ext>
          </c:extLst>
        </c:ser>
        <c:ser>
          <c:idx val="6"/>
          <c:order val="6"/>
          <c:tx>
            <c:strRef>
              <c:f>II_Kopējā_dinamika!$A$210</c:f>
              <c:strCache>
                <c:ptCount val="1"/>
                <c:pt idx="0">
                  <c:v>Pasta pakalpojumi</c:v>
                </c:pt>
              </c:strCache>
            </c:strRef>
          </c:tx>
          <c:spPr>
            <a:solidFill>
              <a:srgbClr val="A162D0"/>
            </a:solidFill>
            <a:ln>
              <a:noFill/>
            </a:ln>
            <a:effectLst/>
          </c:spPr>
          <c:invertIfNegative val="0"/>
          <c:dLbls>
            <c:dLbl>
              <c:idx val="0"/>
              <c:layout>
                <c:manualLayout>
                  <c:x val="4.8691415026196234E-2"/>
                  <c:y val="1.2077294685990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94-4B42-8F67-85690C8624FD}"/>
                </c:ext>
              </c:extLst>
            </c:dLbl>
            <c:dLbl>
              <c:idx val="1"/>
              <c:layout>
                <c:manualLayout>
                  <c:x val="4.7068367858656361E-2"/>
                  <c:y val="9.66183574879228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94-4B42-8F67-85690C8624FD}"/>
                </c:ext>
              </c:extLst>
            </c:dLbl>
            <c:dLbl>
              <c:idx val="2"/>
              <c:layout>
                <c:manualLayout>
                  <c:x val="5.0314462193736115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94-4B42-8F67-85690C8624FD}"/>
                </c:ext>
              </c:extLst>
            </c:dLbl>
            <c:dLbl>
              <c:idx val="3"/>
              <c:layout>
                <c:manualLayout>
                  <c:x val="4.382227352357661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94-4B42-8F67-85690C8624FD}"/>
                </c:ext>
              </c:extLst>
            </c:dLbl>
            <c:dLbl>
              <c:idx val="4"/>
              <c:layout>
                <c:manualLayout>
                  <c:x val="4.219922635603674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94-4B42-8F67-85690C8624FD}"/>
                </c:ext>
              </c:extLst>
            </c:dLbl>
            <c:dLbl>
              <c:idx val="5"/>
              <c:layout>
                <c:manualLayout>
                  <c:x val="4.869141502619623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94-4B42-8F67-85690C8624FD}"/>
                </c:ext>
              </c:extLst>
            </c:dLbl>
            <c:dLbl>
              <c:idx val="6"/>
              <c:layout>
                <c:manualLayout>
                  <c:x val="5.5235903337169157E-2"/>
                  <c:y val="3.1201242939592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II_Kopējā_dinamika!$B$210:$I$210</c:f>
              <c:numCache>
                <c:formatCode>0.0%</c:formatCode>
                <c:ptCount val="8"/>
                <c:pt idx="0">
                  <c:v>0.01</c:v>
                </c:pt>
                <c:pt idx="1">
                  <c:v>1.9E-2</c:v>
                </c:pt>
                <c:pt idx="2">
                  <c:v>8.0000000000000002E-3</c:v>
                </c:pt>
                <c:pt idx="3">
                  <c:v>1.4999999999999999E-2</c:v>
                </c:pt>
                <c:pt idx="4">
                  <c:v>8.0000000000000002E-3</c:v>
                </c:pt>
                <c:pt idx="5">
                  <c:v>6.0000000000000001E-3</c:v>
                </c:pt>
                <c:pt idx="6">
                  <c:v>0.01</c:v>
                </c:pt>
                <c:pt idx="7">
                  <c:v>1.4999999999999999E-2</c:v>
                </c:pt>
              </c:numCache>
            </c:numRef>
          </c:val>
          <c:extLst>
            <c:ext xmlns:c16="http://schemas.microsoft.com/office/drawing/2014/chart" uri="{C3380CC4-5D6E-409C-BE32-E72D297353CC}">
              <c16:uniqueId val="{00000006-E894-4B42-8F67-85690C8624FD}"/>
            </c:ext>
          </c:extLst>
        </c:ser>
        <c:ser>
          <c:idx val="7"/>
          <c:order val="7"/>
          <c:tx>
            <c:strRef>
              <c:f>II_Kopējā_dinamika!$A$211</c:f>
              <c:strCache>
                <c:ptCount val="1"/>
                <c:pt idx="0">
                  <c:v>Ostas</c:v>
                </c:pt>
              </c:strCache>
            </c:strRef>
          </c:tx>
          <c:spPr>
            <a:solidFill>
              <a:srgbClr val="CB5D13"/>
            </a:solidFill>
            <a:ln>
              <a:noFill/>
            </a:ln>
            <a:effectLst/>
          </c:spPr>
          <c:invertIfNegative val="0"/>
          <c:dLbls>
            <c:dLbl>
              <c:idx val="6"/>
              <c:layout>
                <c:manualLayout>
                  <c:x val="5.5235903337169157E-2"/>
                  <c:y val="2.08008286263951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II_Kopējā_dinamika!$B$211:$I$211</c:f>
              <c:numCache>
                <c:formatCode>0.0%</c:formatCode>
                <c:ptCount val="8"/>
                <c:pt idx="0">
                  <c:v>3.7999999999999999E-2</c:v>
                </c:pt>
                <c:pt idx="1">
                  <c:v>6.9000000000000006E-2</c:v>
                </c:pt>
                <c:pt idx="2">
                  <c:v>0.13100000000000001</c:v>
                </c:pt>
                <c:pt idx="3">
                  <c:v>0.09</c:v>
                </c:pt>
                <c:pt idx="4">
                  <c:v>5.6000000000000001E-2</c:v>
                </c:pt>
                <c:pt idx="5">
                  <c:v>4.9000000000000002E-2</c:v>
                </c:pt>
                <c:pt idx="6">
                  <c:v>2.5999999999999999E-2</c:v>
                </c:pt>
                <c:pt idx="7">
                  <c:v>5.6000000000000001E-2</c:v>
                </c:pt>
              </c:numCache>
            </c:numRef>
          </c:val>
          <c:extLst>
            <c:ext xmlns:c16="http://schemas.microsoft.com/office/drawing/2014/chart" uri="{C3380CC4-5D6E-409C-BE32-E72D297353CC}">
              <c16:uniqueId val="{00000007-E894-4B42-8F67-85690C8624FD}"/>
            </c:ext>
          </c:extLst>
        </c:ser>
        <c:ser>
          <c:idx val="8"/>
          <c:order val="8"/>
          <c:tx>
            <c:strRef>
              <c:f>II_Kopējā_dinamika!$A$212</c:f>
              <c:strCache>
                <c:ptCount val="1"/>
                <c:pt idx="0">
                  <c:v>Lidostas</c:v>
                </c:pt>
              </c:strCache>
            </c:strRef>
          </c:tx>
          <c:spPr>
            <a:solidFill>
              <a:schemeClr val="accent6">
                <a:lumMod val="75000"/>
              </a:schemeClr>
            </a:solidFill>
            <a:ln>
              <a:noFill/>
            </a:ln>
            <a:effectLst/>
          </c:spPr>
          <c:invertIfNegative val="0"/>
          <c:dLbls>
            <c:dLbl>
              <c:idx val="0"/>
              <c:layout>
                <c:manualLayout>
                  <c:x val="4.706836785865636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94-4B42-8F67-85690C8624FD}"/>
                </c:ext>
              </c:extLst>
            </c:dLbl>
            <c:dLbl>
              <c:idx val="1"/>
              <c:layout>
                <c:manualLayout>
                  <c:x val="4.7068367858656361E-2"/>
                  <c:y val="-4.8309178743961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94-4B42-8F67-85690C8624FD}"/>
                </c:ext>
              </c:extLst>
            </c:dLbl>
            <c:dLbl>
              <c:idx val="2"/>
              <c:layout>
                <c:manualLayout>
                  <c:x val="5.1937509361275988E-2"/>
                  <c:y val="-1.44927536231884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94-4B42-8F67-85690C8624FD}"/>
                </c:ext>
              </c:extLst>
            </c:dLbl>
            <c:dLbl>
              <c:idx val="3"/>
              <c:layout>
                <c:manualLayout>
                  <c:x val="4.8691415026196234E-2"/>
                  <c:y val="-4.8309178743961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94-4B42-8F67-85690C8624FD}"/>
                </c:ext>
              </c:extLst>
            </c:dLbl>
            <c:dLbl>
              <c:idx val="4"/>
              <c:layout>
                <c:manualLayout>
                  <c:x val="3.8953132020956988E-2"/>
                  <c:y val="-9.661835748792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94-4B42-8F67-85690C8624FD}"/>
                </c:ext>
              </c:extLst>
            </c:dLbl>
            <c:dLbl>
              <c:idx val="5"/>
              <c:layout>
                <c:manualLayout>
                  <c:x val="3.8953132020956988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94-4B42-8F67-85690C8624FD}"/>
                </c:ext>
              </c:extLst>
            </c:dLbl>
            <c:dLbl>
              <c:idx val="6"/>
              <c:layout>
                <c:manualLayout>
                  <c:x val="5.8304564633678557E-2"/>
                  <c:y val="-1.24804971758371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II_Kopējā_dinamika!$B$203:$I$203</c:f>
              <c:strCache>
                <c:ptCount val="8"/>
                <c:pt idx="0">
                  <c:v>2010.gads</c:v>
                </c:pt>
                <c:pt idx="1">
                  <c:v>2011.gads</c:v>
                </c:pt>
                <c:pt idx="2">
                  <c:v>2012.gads</c:v>
                </c:pt>
                <c:pt idx="3">
                  <c:v>2013.gads</c:v>
                </c:pt>
                <c:pt idx="4">
                  <c:v>2014.gads</c:v>
                </c:pt>
                <c:pt idx="5">
                  <c:v>2015.gads</c:v>
                </c:pt>
                <c:pt idx="6">
                  <c:v>2016.gads</c:v>
                </c:pt>
                <c:pt idx="7">
                  <c:v>2017.gads</c:v>
                </c:pt>
              </c:strCache>
            </c:strRef>
          </c:cat>
          <c:val>
            <c:numRef>
              <c:f>II_Kopējā_dinamika!$B$212:$I$212</c:f>
              <c:numCache>
                <c:formatCode>0.0%</c:formatCode>
                <c:ptCount val="8"/>
                <c:pt idx="0">
                  <c:v>6.0000000000000001E-3</c:v>
                </c:pt>
                <c:pt idx="1">
                  <c:v>0.01</c:v>
                </c:pt>
                <c:pt idx="2">
                  <c:v>6.7000000000000004E-2</c:v>
                </c:pt>
                <c:pt idx="3">
                  <c:v>1.7999999999999999E-2</c:v>
                </c:pt>
                <c:pt idx="4">
                  <c:v>3.4000000000000002E-2</c:v>
                </c:pt>
                <c:pt idx="5">
                  <c:v>3.4000000000000002E-2</c:v>
                </c:pt>
                <c:pt idx="6">
                  <c:v>1.2E-2</c:v>
                </c:pt>
                <c:pt idx="7">
                  <c:v>1.2E-2</c:v>
                </c:pt>
              </c:numCache>
            </c:numRef>
          </c:val>
          <c:extLst>
            <c:ext xmlns:c16="http://schemas.microsoft.com/office/drawing/2014/chart" uri="{C3380CC4-5D6E-409C-BE32-E72D297353CC}">
              <c16:uniqueId val="{00000008-E894-4B42-8F67-85690C8624FD}"/>
            </c:ext>
          </c:extLst>
        </c:ser>
        <c:dLbls>
          <c:dLblPos val="ctr"/>
          <c:showLegendKey val="0"/>
          <c:showVal val="1"/>
          <c:showCatName val="0"/>
          <c:showSerName val="0"/>
          <c:showPercent val="0"/>
          <c:showBubbleSize val="0"/>
        </c:dLbls>
        <c:gapWidth val="150"/>
        <c:overlap val="100"/>
        <c:axId val="482768384"/>
        <c:axId val="482768712"/>
      </c:barChart>
      <c:catAx>
        <c:axId val="48276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712"/>
        <c:crosses val="autoZero"/>
        <c:auto val="1"/>
        <c:lblAlgn val="ctr"/>
        <c:lblOffset val="100"/>
        <c:noMultiLvlLbl val="0"/>
      </c:catAx>
      <c:valAx>
        <c:axId val="482768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384"/>
        <c:crosses val="autoZero"/>
        <c:crossBetween val="between"/>
      </c:valAx>
      <c:spPr>
        <a:noFill/>
        <a:ln>
          <a:noFill/>
        </a:ln>
        <a:effectLst/>
      </c:spPr>
    </c:plotArea>
    <c:legend>
      <c:legendPos val="b"/>
      <c:layout>
        <c:manualLayout>
          <c:xMode val="edge"/>
          <c:yMode val="edge"/>
          <c:x val="4.9999948880404169E-2"/>
          <c:y val="0.95399674588187788"/>
          <c:w val="0.89999997444020208"/>
          <c:h val="4.600325411812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2E5557CF-F06C-409F-85CA-BE3E70B7B3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xdr:colOff>
      <xdr:row>1</xdr:row>
      <xdr:rowOff>38100</xdr:rowOff>
    </xdr:from>
    <xdr:to>
      <xdr:col>7</xdr:col>
      <xdr:colOff>590550</xdr:colOff>
      <xdr:row>13</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32</xdr:row>
      <xdr:rowOff>19050</xdr:rowOff>
    </xdr:from>
    <xdr:to>
      <xdr:col>7</xdr:col>
      <xdr:colOff>609599</xdr:colOff>
      <xdr:row>44</xdr:row>
      <xdr:rowOff>142875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57152</xdr:colOff>
      <xdr:row>7</xdr:row>
      <xdr:rowOff>57150</xdr:rowOff>
    </xdr:from>
    <xdr:to>
      <xdr:col>10</xdr:col>
      <xdr:colOff>514351</xdr:colOff>
      <xdr:row>28</xdr:row>
      <xdr:rowOff>104775</xdr:rowOff>
    </xdr:to>
    <xdr:graphicFrame macro="">
      <xdr:nvGraphicFramePr>
        <xdr:cNvPr id="2" name="Chart 1">
          <a:extLst>
            <a:ext uri="{FF2B5EF4-FFF2-40B4-BE49-F238E27FC236}">
              <a16:creationId xmlns:a16="http://schemas.microsoft.com/office/drawing/2014/main" id="{46BDC8D8-B709-4637-B964-476D48068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142875</xdr:rowOff>
    </xdr:from>
    <xdr:to>
      <xdr:col>10</xdr:col>
      <xdr:colOff>514350</xdr:colOff>
      <xdr:row>83</xdr:row>
      <xdr:rowOff>66675</xdr:rowOff>
    </xdr:to>
    <xdr:graphicFrame macro="">
      <xdr:nvGraphicFramePr>
        <xdr:cNvPr id="4" name="Chart 3">
          <a:extLst>
            <a:ext uri="{FF2B5EF4-FFF2-40B4-BE49-F238E27FC236}">
              <a16:creationId xmlns:a16="http://schemas.microsoft.com/office/drawing/2014/main" id="{7AA68A20-97B2-44E9-A589-ED0DF3A29D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95</xdr:row>
      <xdr:rowOff>161924</xdr:rowOff>
    </xdr:from>
    <xdr:to>
      <xdr:col>10</xdr:col>
      <xdr:colOff>533400</xdr:colOff>
      <xdr:row>113</xdr:row>
      <xdr:rowOff>152399</xdr:rowOff>
    </xdr:to>
    <xdr:graphicFrame macro="">
      <xdr:nvGraphicFramePr>
        <xdr:cNvPr id="3" name="Chart 2">
          <a:extLst>
            <a:ext uri="{FF2B5EF4-FFF2-40B4-BE49-F238E27FC236}">
              <a16:creationId xmlns:a16="http://schemas.microsoft.com/office/drawing/2014/main" id="{432B9A6E-650D-4307-9DB5-5741378A5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126</xdr:row>
      <xdr:rowOff>38100</xdr:rowOff>
    </xdr:from>
    <xdr:to>
      <xdr:col>10</xdr:col>
      <xdr:colOff>495300</xdr:colOff>
      <xdr:row>145</xdr:row>
      <xdr:rowOff>9525</xdr:rowOff>
    </xdr:to>
    <xdr:graphicFrame macro="">
      <xdr:nvGraphicFramePr>
        <xdr:cNvPr id="5" name="Chart 4">
          <a:extLst>
            <a:ext uri="{FF2B5EF4-FFF2-40B4-BE49-F238E27FC236}">
              <a16:creationId xmlns:a16="http://schemas.microsoft.com/office/drawing/2014/main" id="{D98932CE-C246-45BF-A2FF-92F5C8EF3A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180975</xdr:colOff>
      <xdr:row>148</xdr:row>
      <xdr:rowOff>9525</xdr:rowOff>
    </xdr:from>
    <xdr:to>
      <xdr:col>11</xdr:col>
      <xdr:colOff>571500</xdr:colOff>
      <xdr:row>166</xdr:row>
      <xdr:rowOff>85725</xdr:rowOff>
    </xdr:to>
    <xdr:graphicFrame macro="">
      <xdr:nvGraphicFramePr>
        <xdr:cNvPr id="7" name="Chart 6">
          <a:extLst>
            <a:ext uri="{FF2B5EF4-FFF2-40B4-BE49-F238E27FC236}">
              <a16:creationId xmlns:a16="http://schemas.microsoft.com/office/drawing/2014/main" id="{BBD4709F-5100-4FAF-A58B-50A311EF9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175</xdr:row>
      <xdr:rowOff>66675</xdr:rowOff>
    </xdr:from>
    <xdr:to>
      <xdr:col>10</xdr:col>
      <xdr:colOff>533400</xdr:colOff>
      <xdr:row>198</xdr:row>
      <xdr:rowOff>123825</xdr:rowOff>
    </xdr:to>
    <xdr:graphicFrame macro="">
      <xdr:nvGraphicFramePr>
        <xdr:cNvPr id="8" name="Chart 7">
          <a:extLst>
            <a:ext uri="{FF2B5EF4-FFF2-40B4-BE49-F238E27FC236}">
              <a16:creationId xmlns:a16="http://schemas.microsoft.com/office/drawing/2014/main" id="{32A3831A-799F-4FE6-8A85-DDCD5AF896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222</xdr:row>
      <xdr:rowOff>142875</xdr:rowOff>
    </xdr:from>
    <xdr:to>
      <xdr:col>10</xdr:col>
      <xdr:colOff>495300</xdr:colOff>
      <xdr:row>254</xdr:row>
      <xdr:rowOff>152401</xdr:rowOff>
    </xdr:to>
    <xdr:graphicFrame macro="">
      <xdr:nvGraphicFramePr>
        <xdr:cNvPr id="9" name="Chart 8">
          <a:extLst>
            <a:ext uri="{FF2B5EF4-FFF2-40B4-BE49-F238E27FC236}">
              <a16:creationId xmlns:a16="http://schemas.microsoft.com/office/drawing/2014/main" id="{3183F7BF-9366-4C2B-9323-85DDCF349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39</xdr:row>
      <xdr:rowOff>166687</xdr:rowOff>
    </xdr:from>
    <xdr:to>
      <xdr:col>10</xdr:col>
      <xdr:colOff>38099</xdr:colOff>
      <xdr:row>56</xdr:row>
      <xdr:rowOff>66675</xdr:rowOff>
    </xdr:to>
    <xdr:graphicFrame macro="">
      <xdr:nvGraphicFramePr>
        <xdr:cNvPr id="15" name="Chart 14">
          <a:extLst>
            <a:ext uri="{FF2B5EF4-FFF2-40B4-BE49-F238E27FC236}">
              <a16:creationId xmlns:a16="http://schemas.microsoft.com/office/drawing/2014/main" id="{3922F80F-AD24-4695-B539-CA697E812E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1</xdr:row>
      <xdr:rowOff>114301</xdr:rowOff>
    </xdr:from>
    <xdr:to>
      <xdr:col>10</xdr:col>
      <xdr:colOff>457200</xdr:colOff>
      <xdr:row>9</xdr:row>
      <xdr:rowOff>19051</xdr:rowOff>
    </xdr:to>
    <xdr:graphicFrame macro="">
      <xdr:nvGraphicFramePr>
        <xdr:cNvPr id="2" name="Chart 1">
          <a:extLst>
            <a:ext uri="{FF2B5EF4-FFF2-40B4-BE49-F238E27FC236}">
              <a16:creationId xmlns:a16="http://schemas.microsoft.com/office/drawing/2014/main" id="{392D48CE-531C-47EA-9D64-56622021A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180974</xdr:colOff>
      <xdr:row>11</xdr:row>
      <xdr:rowOff>161925</xdr:rowOff>
    </xdr:from>
    <xdr:to>
      <xdr:col>10</xdr:col>
      <xdr:colOff>457200</xdr:colOff>
      <xdr:row>23</xdr:row>
      <xdr:rowOff>0</xdr:rowOff>
    </xdr:to>
    <xdr:graphicFrame macro="">
      <xdr:nvGraphicFramePr>
        <xdr:cNvPr id="6" name="Chart 5">
          <a:extLst>
            <a:ext uri="{FF2B5EF4-FFF2-40B4-BE49-F238E27FC236}">
              <a16:creationId xmlns:a16="http://schemas.microsoft.com/office/drawing/2014/main" id="{039DF762-4BFA-4819-94B4-1A6D14AA3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114301</xdr:colOff>
      <xdr:row>36</xdr:row>
      <xdr:rowOff>9525</xdr:rowOff>
    </xdr:from>
    <xdr:to>
      <xdr:col>10</xdr:col>
      <xdr:colOff>428626</xdr:colOff>
      <xdr:row>55</xdr:row>
      <xdr:rowOff>142875</xdr:rowOff>
    </xdr:to>
    <xdr:graphicFrame macro="">
      <xdr:nvGraphicFramePr>
        <xdr:cNvPr id="7" name="Chart 6">
          <a:extLst>
            <a:ext uri="{FF2B5EF4-FFF2-40B4-BE49-F238E27FC236}">
              <a16:creationId xmlns:a16="http://schemas.microsoft.com/office/drawing/2014/main" id="{63178180-067F-42B6-90D4-B5E9420E5F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190498</xdr:colOff>
      <xdr:row>66</xdr:row>
      <xdr:rowOff>28574</xdr:rowOff>
    </xdr:from>
    <xdr:to>
      <xdr:col>14</xdr:col>
      <xdr:colOff>28574</xdr:colOff>
      <xdr:row>79</xdr:row>
      <xdr:rowOff>142875</xdr:rowOff>
    </xdr:to>
    <xdr:graphicFrame macro="">
      <xdr:nvGraphicFramePr>
        <xdr:cNvPr id="3" name="Chart 2">
          <a:extLst>
            <a:ext uri="{FF2B5EF4-FFF2-40B4-BE49-F238E27FC236}">
              <a16:creationId xmlns:a16="http://schemas.microsoft.com/office/drawing/2014/main" id="{578D935F-9222-4226-B2B3-5C8C18C33F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266700</xdr:colOff>
      <xdr:row>90</xdr:row>
      <xdr:rowOff>9526</xdr:rowOff>
    </xdr:from>
    <xdr:to>
      <xdr:col>14</xdr:col>
      <xdr:colOff>142875</xdr:colOff>
      <xdr:row>102</xdr:row>
      <xdr:rowOff>180975</xdr:rowOff>
    </xdr:to>
    <xdr:graphicFrame macro="">
      <xdr:nvGraphicFramePr>
        <xdr:cNvPr id="4" name="Chart 3">
          <a:extLst>
            <a:ext uri="{FF2B5EF4-FFF2-40B4-BE49-F238E27FC236}">
              <a16:creationId xmlns:a16="http://schemas.microsoft.com/office/drawing/2014/main" id="{D1B68E6D-AC60-4317-99C7-A9C7C7D0FF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142874</xdr:colOff>
      <xdr:row>147</xdr:row>
      <xdr:rowOff>85725</xdr:rowOff>
    </xdr:from>
    <xdr:to>
      <xdr:col>10</xdr:col>
      <xdr:colOff>485774</xdr:colOff>
      <xdr:row>159</xdr:row>
      <xdr:rowOff>38100</xdr:rowOff>
    </xdr:to>
    <xdr:graphicFrame macro="">
      <xdr:nvGraphicFramePr>
        <xdr:cNvPr id="5" name="Chart 4">
          <a:extLst>
            <a:ext uri="{FF2B5EF4-FFF2-40B4-BE49-F238E27FC236}">
              <a16:creationId xmlns:a16="http://schemas.microsoft.com/office/drawing/2014/main" id="{C1A527C4-98D6-487E-B4D9-63FBC47929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228601</xdr:colOff>
      <xdr:row>11</xdr:row>
      <xdr:rowOff>104774</xdr:rowOff>
    </xdr:from>
    <xdr:to>
      <xdr:col>12</xdr:col>
      <xdr:colOff>504826</xdr:colOff>
      <xdr:row>29</xdr:row>
      <xdr:rowOff>114299</xdr:rowOff>
    </xdr:to>
    <xdr:graphicFrame macro="">
      <xdr:nvGraphicFramePr>
        <xdr:cNvPr id="2" name="Chart 1">
          <a:extLst>
            <a:ext uri="{FF2B5EF4-FFF2-40B4-BE49-F238E27FC236}">
              <a16:creationId xmlns:a16="http://schemas.microsoft.com/office/drawing/2014/main" id="{E02154B1-4FA8-4F3A-97C9-1BB8DE902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76200</xdr:rowOff>
    </xdr:from>
    <xdr:to>
      <xdr:col>12</xdr:col>
      <xdr:colOff>542925</xdr:colOff>
      <xdr:row>53</xdr:row>
      <xdr:rowOff>152400</xdr:rowOff>
    </xdr:to>
    <xdr:graphicFrame macro="">
      <xdr:nvGraphicFramePr>
        <xdr:cNvPr id="4" name="Chart 3">
          <a:extLst>
            <a:ext uri="{FF2B5EF4-FFF2-40B4-BE49-F238E27FC236}">
              <a16:creationId xmlns:a16="http://schemas.microsoft.com/office/drawing/2014/main" id="{210040E8-A13E-42B3-AB08-CFEA7AF0F1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2</xdr:row>
      <xdr:rowOff>47625</xdr:rowOff>
    </xdr:from>
    <xdr:to>
      <xdr:col>12</xdr:col>
      <xdr:colOff>495300</xdr:colOff>
      <xdr:row>18</xdr:row>
      <xdr:rowOff>104775</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161924</xdr:colOff>
      <xdr:row>69</xdr:row>
      <xdr:rowOff>76200</xdr:rowOff>
    </xdr:from>
    <xdr:to>
      <xdr:col>12</xdr:col>
      <xdr:colOff>447674</xdr:colOff>
      <xdr:row>86</xdr:row>
      <xdr:rowOff>142875</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695324</xdr:colOff>
      <xdr:row>93</xdr:row>
      <xdr:rowOff>180974</xdr:rowOff>
    </xdr:from>
    <xdr:to>
      <xdr:col>12</xdr:col>
      <xdr:colOff>438149</xdr:colOff>
      <xdr:row>109</xdr:row>
      <xdr:rowOff>104775</xdr:rowOff>
    </xdr:to>
    <xdr:graphicFrame macro="">
      <xdr:nvGraphicFramePr>
        <xdr:cNvPr id="8" name="Chart 7">
          <a:extLst>
            <a:ext uri="{FF2B5EF4-FFF2-40B4-BE49-F238E27FC236}">
              <a16:creationId xmlns:a16="http://schemas.microsoft.com/office/drawing/2014/main" id="{63E52ADA-827C-4A78-8018-8E26512FB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571500</xdr:colOff>
      <xdr:row>32</xdr:row>
      <xdr:rowOff>161926</xdr:rowOff>
    </xdr:from>
    <xdr:to>
      <xdr:col>12</xdr:col>
      <xdr:colOff>457200</xdr:colOff>
      <xdr:row>57</xdr:row>
      <xdr:rowOff>38101</xdr:rowOff>
    </xdr:to>
    <xdr:graphicFrame macro="">
      <xdr:nvGraphicFramePr>
        <xdr:cNvPr id="7" name="Chart 6">
          <a:extLst>
            <a:ext uri="{FF2B5EF4-FFF2-40B4-BE49-F238E27FC236}">
              <a16:creationId xmlns:a16="http://schemas.microsoft.com/office/drawing/2014/main" id="{54C221CA-A1BF-4861-BA03-A1772F70E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133350</xdr:colOff>
      <xdr:row>1</xdr:row>
      <xdr:rowOff>152400</xdr:rowOff>
    </xdr:from>
    <xdr:to>
      <xdr:col>13</xdr:col>
      <xdr:colOff>381000</xdr:colOff>
      <xdr:row>15</xdr:row>
      <xdr:rowOff>104775</xdr:rowOff>
    </xdr:to>
    <xdr:graphicFrame macro="">
      <xdr:nvGraphicFramePr>
        <xdr:cNvPr id="2" name="Chart 1">
          <a:extLst>
            <a:ext uri="{FF2B5EF4-FFF2-40B4-BE49-F238E27FC236}">
              <a16:creationId xmlns:a16="http://schemas.microsoft.com/office/drawing/2014/main" id="{B3362740-7E66-4C52-8BC1-BC6795B3D6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19</xdr:row>
      <xdr:rowOff>47625</xdr:rowOff>
    </xdr:from>
    <xdr:to>
      <xdr:col>15</xdr:col>
      <xdr:colOff>561975</xdr:colOff>
      <xdr:row>28</xdr:row>
      <xdr:rowOff>133350</xdr:rowOff>
    </xdr:to>
    <xdr:graphicFrame macro="">
      <xdr:nvGraphicFramePr>
        <xdr:cNvPr id="4" name="Chart 3">
          <a:extLst>
            <a:ext uri="{FF2B5EF4-FFF2-40B4-BE49-F238E27FC236}">
              <a16:creationId xmlns:a16="http://schemas.microsoft.com/office/drawing/2014/main" id="{472B5336-8530-4317-95E8-DAE80D28DB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41</xdr:row>
      <xdr:rowOff>180975</xdr:rowOff>
    </xdr:from>
    <xdr:to>
      <xdr:col>13</xdr:col>
      <xdr:colOff>228599</xdr:colOff>
      <xdr:row>56</xdr:row>
      <xdr:rowOff>66675</xdr:rowOff>
    </xdr:to>
    <xdr:graphicFrame macro="">
      <xdr:nvGraphicFramePr>
        <xdr:cNvPr id="5" name="Chart 4">
          <a:extLst>
            <a:ext uri="{FF2B5EF4-FFF2-40B4-BE49-F238E27FC236}">
              <a16:creationId xmlns:a16="http://schemas.microsoft.com/office/drawing/2014/main" id="{8E0AE92B-8DC8-4E0F-B8FB-C50407232F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57150</xdr:rowOff>
    </xdr:from>
    <xdr:to>
      <xdr:col>13</xdr:col>
      <xdr:colOff>542925</xdr:colOff>
      <xdr:row>92</xdr:row>
      <xdr:rowOff>152400</xdr:rowOff>
    </xdr:to>
    <xdr:graphicFrame macro="">
      <xdr:nvGraphicFramePr>
        <xdr:cNvPr id="6" name="Chart 5">
          <a:extLst>
            <a:ext uri="{FF2B5EF4-FFF2-40B4-BE49-F238E27FC236}">
              <a16:creationId xmlns:a16="http://schemas.microsoft.com/office/drawing/2014/main" id="{B3651B51-E61C-40FC-AFEF-475A65CF6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171451</xdr:colOff>
      <xdr:row>98</xdr:row>
      <xdr:rowOff>57148</xdr:rowOff>
    </xdr:from>
    <xdr:to>
      <xdr:col>15</xdr:col>
      <xdr:colOff>219075</xdr:colOff>
      <xdr:row>127</xdr:row>
      <xdr:rowOff>57149</xdr:rowOff>
    </xdr:to>
    <xdr:graphicFrame macro="">
      <xdr:nvGraphicFramePr>
        <xdr:cNvPr id="7" name="Chart 6">
          <a:extLst>
            <a:ext uri="{FF2B5EF4-FFF2-40B4-BE49-F238E27FC236}">
              <a16:creationId xmlns:a16="http://schemas.microsoft.com/office/drawing/2014/main" id="{ECE21BFD-7BE8-4639-B176-D76D1A979D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xdr:colOff>
      <xdr:row>15</xdr:row>
      <xdr:rowOff>76200</xdr:rowOff>
    </xdr:from>
    <xdr:to>
      <xdr:col>12</xdr:col>
      <xdr:colOff>552449</xdr:colOff>
      <xdr:row>22</xdr:row>
      <xdr:rowOff>85725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119062</xdr:colOff>
      <xdr:row>1</xdr:row>
      <xdr:rowOff>171450</xdr:rowOff>
    </xdr:from>
    <xdr:to>
      <xdr:col>12</xdr:col>
      <xdr:colOff>438150</xdr:colOff>
      <xdr:row>14</xdr:row>
      <xdr:rowOff>133350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400048</xdr:colOff>
      <xdr:row>26</xdr:row>
      <xdr:rowOff>142874</xdr:rowOff>
    </xdr:from>
    <xdr:to>
      <xdr:col>17</xdr:col>
      <xdr:colOff>419099</xdr:colOff>
      <xdr:row>41</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topLeftCell="A16" workbookViewId="0">
      <selection activeCell="N35" sqref="N35"/>
    </sheetView>
  </sheetViews>
  <sheetFormatPr defaultRowHeight="15" x14ac:dyDescent="0.25"/>
  <sheetData>
    <row r="16" spans="1:9" ht="31.5" customHeight="1" x14ac:dyDescent="0.25">
      <c r="A16" s="419" t="s">
        <v>461</v>
      </c>
      <c r="B16" s="419"/>
      <c r="C16" s="419"/>
      <c r="D16" s="419"/>
      <c r="E16" s="419"/>
      <c r="F16" s="419"/>
      <c r="G16" s="419"/>
      <c r="H16" s="419"/>
      <c r="I16" s="419"/>
    </row>
    <row r="47" spans="5:5" x14ac:dyDescent="0.25">
      <c r="E47" s="14" t="s">
        <v>462</v>
      </c>
    </row>
  </sheetData>
  <mergeCells count="1">
    <mergeCell ref="A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8"/>
  <sheetViews>
    <sheetView topLeftCell="A4" zoomScaleNormal="100" workbookViewId="0">
      <selection activeCell="M19" sqref="M19"/>
    </sheetView>
  </sheetViews>
  <sheetFormatPr defaultRowHeight="15" x14ac:dyDescent="0.25"/>
  <cols>
    <col min="1" max="1" width="12.85546875" customWidth="1"/>
    <col min="2" max="2" width="36.5703125" customWidth="1"/>
    <col min="3" max="3" width="8.28515625" customWidth="1"/>
    <col min="4" max="4" width="8.42578125" customWidth="1"/>
    <col min="5" max="5" width="12" bestFit="1" customWidth="1"/>
    <col min="6" max="6" width="8.140625" customWidth="1"/>
    <col min="7" max="7" width="12.85546875" style="24" bestFit="1" customWidth="1"/>
    <col min="8" max="8" width="11.140625" customWidth="1"/>
  </cols>
  <sheetData>
    <row r="1" spans="1:8" x14ac:dyDescent="0.25">
      <c r="A1" s="307" t="s">
        <v>490</v>
      </c>
    </row>
    <row r="3" spans="1:8" ht="135" x14ac:dyDescent="0.25">
      <c r="A3" s="152" t="s">
        <v>248</v>
      </c>
      <c r="B3" s="152" t="s">
        <v>290</v>
      </c>
      <c r="C3" s="153" t="s">
        <v>447</v>
      </c>
      <c r="D3" s="153" t="s">
        <v>448</v>
      </c>
      <c r="E3" s="153" t="s">
        <v>292</v>
      </c>
      <c r="F3" s="153" t="s">
        <v>448</v>
      </c>
      <c r="G3" s="118" t="s">
        <v>450</v>
      </c>
      <c r="H3" s="153" t="s">
        <v>449</v>
      </c>
    </row>
    <row r="4" spans="1:8" ht="30" x14ac:dyDescent="0.25">
      <c r="A4" s="157" t="s">
        <v>262</v>
      </c>
      <c r="B4" s="160" t="s">
        <v>261</v>
      </c>
      <c r="C4" s="158">
        <v>30</v>
      </c>
      <c r="D4" s="159">
        <f>C4/C24</f>
        <v>0.1111111111111111</v>
      </c>
      <c r="E4" s="158">
        <v>84816524</v>
      </c>
      <c r="F4" s="159">
        <f>E4/E24</f>
        <v>0.30638772816069926</v>
      </c>
      <c r="G4" s="158">
        <v>8298421</v>
      </c>
      <c r="H4" s="159">
        <f>G4/G24</f>
        <v>0.18630134507551477</v>
      </c>
    </row>
    <row r="5" spans="1:8" x14ac:dyDescent="0.25">
      <c r="A5" s="154" t="s">
        <v>293</v>
      </c>
      <c r="B5" s="154" t="s">
        <v>294</v>
      </c>
      <c r="C5" s="155">
        <v>8</v>
      </c>
      <c r="D5" s="156">
        <f>C5/C24</f>
        <v>2.9629629629629631E-2</v>
      </c>
      <c r="E5" s="155">
        <v>55466584</v>
      </c>
      <c r="F5" s="156">
        <f>E5/E24</f>
        <v>0.20036521021062584</v>
      </c>
      <c r="G5" s="155">
        <v>18000000</v>
      </c>
      <c r="H5" s="156">
        <f>G5/G24</f>
        <v>0.40410389053041129</v>
      </c>
    </row>
    <row r="6" spans="1:8" ht="45" x14ac:dyDescent="0.25">
      <c r="A6" s="157" t="s">
        <v>256</v>
      </c>
      <c r="B6" s="160" t="s">
        <v>255</v>
      </c>
      <c r="C6" s="158">
        <v>14</v>
      </c>
      <c r="D6" s="159">
        <f>C6/C24</f>
        <v>5.185185185185185E-2</v>
      </c>
      <c r="E6" s="158">
        <v>34023146</v>
      </c>
      <c r="F6" s="159">
        <f>E6/E24</f>
        <v>0.12290381539120589</v>
      </c>
      <c r="G6" s="158">
        <v>0</v>
      </c>
      <c r="H6" s="159">
        <f>G6/G24</f>
        <v>0</v>
      </c>
    </row>
    <row r="7" spans="1:8" x14ac:dyDescent="0.25">
      <c r="A7" s="2" t="s">
        <v>259</v>
      </c>
      <c r="B7" s="10" t="s">
        <v>267</v>
      </c>
      <c r="C7" s="6">
        <v>149</v>
      </c>
      <c r="D7" s="8">
        <f>C7/C24</f>
        <v>0.55185185185185182</v>
      </c>
      <c r="E7" s="6">
        <v>18883831</v>
      </c>
      <c r="F7" s="8">
        <f>E7/E24</f>
        <v>6.8215175607297771E-2</v>
      </c>
      <c r="G7" s="142">
        <v>0</v>
      </c>
      <c r="H7" s="8">
        <f>G7/G24</f>
        <v>0</v>
      </c>
    </row>
    <row r="8" spans="1:8" ht="30" x14ac:dyDescent="0.25">
      <c r="A8" s="157" t="s">
        <v>245</v>
      </c>
      <c r="B8" s="160" t="s">
        <v>263</v>
      </c>
      <c r="C8" s="158">
        <v>15</v>
      </c>
      <c r="D8" s="159">
        <f>C8/C24</f>
        <v>5.5555555555555552E-2</v>
      </c>
      <c r="E8" s="158">
        <v>11367022</v>
      </c>
      <c r="F8" s="159">
        <f>E8/E24</f>
        <v>4.1061763466428883E-2</v>
      </c>
      <c r="G8" s="158">
        <v>984250</v>
      </c>
      <c r="H8" s="159">
        <f>G8/G24</f>
        <v>2.2096625236364294E-2</v>
      </c>
    </row>
    <row r="9" spans="1:8" ht="30" x14ac:dyDescent="0.25">
      <c r="A9" s="2" t="s">
        <v>613</v>
      </c>
      <c r="B9" s="10" t="s">
        <v>614</v>
      </c>
      <c r="C9" s="6">
        <v>3</v>
      </c>
      <c r="D9" s="8">
        <f>C9/C24</f>
        <v>1.1111111111111112E-2</v>
      </c>
      <c r="E9" s="6">
        <v>10434118</v>
      </c>
      <c r="F9" s="8">
        <f>E9/E24</f>
        <v>3.7691779368141276E-2</v>
      </c>
      <c r="G9" s="6">
        <v>4695173</v>
      </c>
      <c r="H9" s="8">
        <f>G9/G24</f>
        <v>0.10540764866740793</v>
      </c>
    </row>
    <row r="10" spans="1:8" x14ac:dyDescent="0.25">
      <c r="A10" s="157" t="s">
        <v>266</v>
      </c>
      <c r="B10" s="157" t="s">
        <v>265</v>
      </c>
      <c r="C10" s="158">
        <v>1</v>
      </c>
      <c r="D10" s="159">
        <f>C10/C24</f>
        <v>3.7037037037037038E-3</v>
      </c>
      <c r="E10" s="158">
        <v>7961430</v>
      </c>
      <c r="F10" s="159">
        <f>E10/E24</f>
        <v>2.8759542782140376E-2</v>
      </c>
      <c r="G10" s="158">
        <v>7961430</v>
      </c>
      <c r="H10" s="159">
        <f>G10/G24</f>
        <v>0.17873582428808513</v>
      </c>
    </row>
    <row r="11" spans="1:8" ht="17.25" customHeight="1" x14ac:dyDescent="0.25">
      <c r="A11" s="157" t="s">
        <v>257</v>
      </c>
      <c r="B11" s="160" t="s">
        <v>264</v>
      </c>
      <c r="C11" s="158">
        <v>1</v>
      </c>
      <c r="D11" s="159">
        <f>C11/C24</f>
        <v>3.7037037037037038E-3</v>
      </c>
      <c r="E11" s="158">
        <v>7499510</v>
      </c>
      <c r="F11" s="159">
        <f>E11/E24</f>
        <v>2.7090921943682175E-2</v>
      </c>
      <c r="G11" s="158">
        <v>0</v>
      </c>
      <c r="H11" s="159">
        <f>G11/G24</f>
        <v>0</v>
      </c>
    </row>
    <row r="12" spans="1:8" ht="30" x14ac:dyDescent="0.25">
      <c r="A12" s="157" t="s">
        <v>444</v>
      </c>
      <c r="B12" s="160" t="s">
        <v>443</v>
      </c>
      <c r="C12" s="158">
        <v>4</v>
      </c>
      <c r="D12" s="159">
        <f>C12/C24</f>
        <v>1.4814814814814815E-2</v>
      </c>
      <c r="E12" s="158">
        <v>7261662</v>
      </c>
      <c r="F12" s="159">
        <f>E12/E24</f>
        <v>2.6231729596120679E-2</v>
      </c>
      <c r="G12" s="158">
        <v>0</v>
      </c>
      <c r="H12" s="159">
        <f>G12/G24</f>
        <v>0</v>
      </c>
    </row>
    <row r="13" spans="1:8" ht="30" x14ac:dyDescent="0.25">
      <c r="A13" s="2" t="s">
        <v>298</v>
      </c>
      <c r="B13" s="10" t="s">
        <v>297</v>
      </c>
      <c r="C13" s="6">
        <v>6</v>
      </c>
      <c r="D13" s="8">
        <f>C13/C24</f>
        <v>2.2222222222222223E-2</v>
      </c>
      <c r="E13" s="6">
        <v>6974955</v>
      </c>
      <c r="F13" s="8">
        <f>E13/E24</f>
        <v>2.5196041003438318E-2</v>
      </c>
      <c r="G13" s="6">
        <v>0</v>
      </c>
      <c r="H13" s="8">
        <f>G13/G24</f>
        <v>0</v>
      </c>
    </row>
    <row r="14" spans="1:8" ht="46.5" customHeight="1" x14ac:dyDescent="0.25">
      <c r="A14" s="157" t="s">
        <v>611</v>
      </c>
      <c r="B14" s="160" t="s">
        <v>612</v>
      </c>
      <c r="C14" s="158">
        <v>3</v>
      </c>
      <c r="D14" s="159">
        <f>C14/C24</f>
        <v>1.1111111111111112E-2</v>
      </c>
      <c r="E14" s="158">
        <v>6592136</v>
      </c>
      <c r="F14" s="159">
        <f>E14/E24</f>
        <v>2.3813161368961069E-2</v>
      </c>
      <c r="G14" s="158">
        <v>0</v>
      </c>
      <c r="H14" s="159">
        <f>G14/G24</f>
        <v>0</v>
      </c>
    </row>
    <row r="15" spans="1:8" ht="45" x14ac:dyDescent="0.25">
      <c r="A15" s="2" t="s">
        <v>269</v>
      </c>
      <c r="B15" s="10" t="s">
        <v>268</v>
      </c>
      <c r="C15" s="6">
        <v>6</v>
      </c>
      <c r="D15" s="8">
        <f>C15/C24</f>
        <v>2.2222222222222223E-2</v>
      </c>
      <c r="E15" s="6">
        <v>5857072</v>
      </c>
      <c r="F15" s="8">
        <f>E15/E24</f>
        <v>2.1157846362032513E-2</v>
      </c>
      <c r="G15" s="6">
        <v>2425995</v>
      </c>
      <c r="H15" s="8">
        <f>G15/G24</f>
        <v>5.4464112105962505E-2</v>
      </c>
    </row>
    <row r="16" spans="1:8" ht="60" x14ac:dyDescent="0.25">
      <c r="A16" s="2" t="s">
        <v>302</v>
      </c>
      <c r="B16" s="10" t="s">
        <v>301</v>
      </c>
      <c r="C16" s="6">
        <v>5</v>
      </c>
      <c r="D16" s="8">
        <f>C16/C24</f>
        <v>1.8518518518518517E-2</v>
      </c>
      <c r="E16" s="6">
        <v>3553744</v>
      </c>
      <c r="F16" s="8">
        <f>E16/E24</f>
        <v>1.2837398884971001E-2</v>
      </c>
      <c r="G16" s="6">
        <v>0</v>
      </c>
      <c r="H16" s="8">
        <f>G16/G24</f>
        <v>0</v>
      </c>
    </row>
    <row r="17" spans="1:8" ht="45" x14ac:dyDescent="0.25">
      <c r="A17" s="2" t="s">
        <v>616</v>
      </c>
      <c r="B17" s="10" t="s">
        <v>615</v>
      </c>
      <c r="C17" s="6">
        <v>8</v>
      </c>
      <c r="D17" s="8">
        <f>C17/C24</f>
        <v>2.9629629629629631E-2</v>
      </c>
      <c r="E17" s="6">
        <v>3402776</v>
      </c>
      <c r="F17" s="8">
        <f>E17/E24</f>
        <v>1.2292048281532401E-2</v>
      </c>
      <c r="G17" s="6">
        <v>0</v>
      </c>
      <c r="H17" s="8">
        <f>G17/G24</f>
        <v>0</v>
      </c>
    </row>
    <row r="18" spans="1:8" ht="30" x14ac:dyDescent="0.25">
      <c r="A18" s="2" t="s">
        <v>516</v>
      </c>
      <c r="B18" s="10" t="s">
        <v>619</v>
      </c>
      <c r="C18" s="6">
        <v>4</v>
      </c>
      <c r="D18" s="8">
        <f>C18/C24</f>
        <v>1.4814814814814815E-2</v>
      </c>
      <c r="E18" s="6">
        <v>3203750</v>
      </c>
      <c r="F18" s="8">
        <f>E18/E24</f>
        <v>1.1573094932478491E-2</v>
      </c>
      <c r="G18" s="6">
        <v>200000</v>
      </c>
      <c r="H18" s="8">
        <f>G18/G24</f>
        <v>4.4900432281156808E-3</v>
      </c>
    </row>
    <row r="19" spans="1:8" ht="30" x14ac:dyDescent="0.25">
      <c r="A19" s="2" t="s">
        <v>445</v>
      </c>
      <c r="B19" s="10" t="s">
        <v>446</v>
      </c>
      <c r="C19" s="6">
        <v>3</v>
      </c>
      <c r="D19" s="8">
        <f>C19/C24</f>
        <v>1.1111111111111112E-2</v>
      </c>
      <c r="E19" s="6">
        <v>2771300</v>
      </c>
      <c r="F19" s="8">
        <f>E19/E24</f>
        <v>1.0010930311783892E-2</v>
      </c>
      <c r="G19" s="6">
        <v>0</v>
      </c>
      <c r="H19" s="8">
        <f>G19/G24</f>
        <v>0</v>
      </c>
    </row>
    <row r="20" spans="1:8" ht="45" x14ac:dyDescent="0.25">
      <c r="A20" s="2" t="s">
        <v>300</v>
      </c>
      <c r="B20" s="10" t="s">
        <v>299</v>
      </c>
      <c r="C20" s="6">
        <v>4</v>
      </c>
      <c r="D20" s="8">
        <f>C20/C24</f>
        <v>1.4814814814814815E-2</v>
      </c>
      <c r="E20" s="6">
        <v>2198532</v>
      </c>
      <c r="F20" s="8">
        <f>E20/E24</f>
        <v>7.9418867102900668E-3</v>
      </c>
      <c r="G20" s="6">
        <v>0</v>
      </c>
      <c r="H20" s="8">
        <f>G20/G24</f>
        <v>0</v>
      </c>
    </row>
    <row r="21" spans="1:8" x14ac:dyDescent="0.25">
      <c r="A21" s="157" t="s">
        <v>258</v>
      </c>
      <c r="B21" s="157" t="s">
        <v>260</v>
      </c>
      <c r="C21" s="158">
        <v>2</v>
      </c>
      <c r="D21" s="159">
        <f>C21/C24</f>
        <v>7.4074074074074077E-3</v>
      </c>
      <c r="E21" s="158">
        <v>1977732</v>
      </c>
      <c r="F21" s="159">
        <f>E21/E24</f>
        <v>7.1442778578230358E-3</v>
      </c>
      <c r="G21" s="158">
        <v>1977732</v>
      </c>
      <c r="H21" s="159">
        <f>G21/G24</f>
        <v>4.4400510868138406E-2</v>
      </c>
    </row>
    <row r="22" spans="1:8" ht="45" x14ac:dyDescent="0.25">
      <c r="A22" s="157" t="s">
        <v>296</v>
      </c>
      <c r="B22" s="160" t="s">
        <v>295</v>
      </c>
      <c r="C22" s="158">
        <v>3</v>
      </c>
      <c r="D22" s="159">
        <f>C22/C24</f>
        <v>1.1111111111111112E-2</v>
      </c>
      <c r="E22" s="158">
        <v>1785775</v>
      </c>
      <c r="F22" s="159">
        <f>E22/E24</f>
        <v>6.4508602740684443E-3</v>
      </c>
      <c r="G22" s="158">
        <v>0</v>
      </c>
      <c r="H22" s="159">
        <f>G22/G24</f>
        <v>0</v>
      </c>
    </row>
    <row r="23" spans="1:8" x14ac:dyDescent="0.25">
      <c r="A23" s="157" t="s">
        <v>618</v>
      </c>
      <c r="B23" s="157" t="s">
        <v>617</v>
      </c>
      <c r="C23" s="158">
        <v>1</v>
      </c>
      <c r="D23" s="159">
        <f>C23/C24</f>
        <v>3.7037037037037038E-3</v>
      </c>
      <c r="E23" s="158">
        <v>795820</v>
      </c>
      <c r="F23" s="159">
        <f>E23/E24</f>
        <v>2.8747874862785901E-3</v>
      </c>
      <c r="G23" s="158">
        <v>0</v>
      </c>
      <c r="H23" s="159">
        <f>G23/G24</f>
        <v>0</v>
      </c>
    </row>
    <row r="24" spans="1:8" x14ac:dyDescent="0.25">
      <c r="A24" s="132"/>
      <c r="B24" s="109" t="s">
        <v>303</v>
      </c>
      <c r="C24" s="133">
        <f t="shared" ref="C24:H24" si="0">SUM(C4:C23)</f>
        <v>270</v>
      </c>
      <c r="D24" s="134">
        <f t="shared" si="0"/>
        <v>0.99999999999999978</v>
      </c>
      <c r="E24" s="133">
        <f t="shared" si="0"/>
        <v>276827419</v>
      </c>
      <c r="F24" s="134">
        <f t="shared" si="0"/>
        <v>0.99999999999999978</v>
      </c>
      <c r="G24" s="133">
        <f t="shared" si="0"/>
        <v>44543001</v>
      </c>
      <c r="H24" s="134">
        <f t="shared" si="0"/>
        <v>0.99999999999999989</v>
      </c>
    </row>
    <row r="25" spans="1:8" x14ac:dyDescent="0.25">
      <c r="C25" s="24"/>
      <c r="D25" s="24"/>
      <c r="E25" s="24"/>
      <c r="F25" s="24"/>
      <c r="H25" s="24"/>
    </row>
    <row r="26" spans="1:8" x14ac:dyDescent="0.25">
      <c r="H26" s="24"/>
    </row>
    <row r="28" spans="1:8" x14ac:dyDescent="0.25">
      <c r="F28" s="24"/>
      <c r="H28" s="24"/>
    </row>
    <row r="29" spans="1:8" x14ac:dyDescent="0.25">
      <c r="C29" s="24"/>
      <c r="D29" s="24"/>
      <c r="E29" s="24"/>
      <c r="F29" s="24"/>
      <c r="H29" s="24"/>
    </row>
    <row r="30" spans="1:8" x14ac:dyDescent="0.25">
      <c r="C30" s="24"/>
      <c r="D30" s="24"/>
      <c r="E30" s="24"/>
      <c r="F30" s="24"/>
      <c r="H30" s="24"/>
    </row>
    <row r="31" spans="1:8" x14ac:dyDescent="0.25">
      <c r="C31" s="24"/>
      <c r="D31" s="24"/>
      <c r="E31" s="24"/>
      <c r="F31" s="24"/>
      <c r="H31" s="24"/>
    </row>
    <row r="32" spans="1:8" x14ac:dyDescent="0.25">
      <c r="C32" s="24"/>
      <c r="D32" s="24"/>
      <c r="E32" s="24"/>
      <c r="F32" s="24"/>
      <c r="H32" s="24"/>
    </row>
    <row r="33" spans="3:8" x14ac:dyDescent="0.25">
      <c r="C33" s="24"/>
      <c r="D33" s="24"/>
      <c r="E33" s="24"/>
      <c r="F33" s="24"/>
      <c r="H33" s="24"/>
    </row>
    <row r="34" spans="3:8" x14ac:dyDescent="0.25">
      <c r="C34" s="24"/>
      <c r="D34" s="24"/>
      <c r="E34" s="24"/>
      <c r="F34" s="24"/>
      <c r="H34" s="24"/>
    </row>
    <row r="35" spans="3:8" x14ac:dyDescent="0.25">
      <c r="C35" s="24"/>
      <c r="D35" s="24"/>
      <c r="E35" s="24"/>
      <c r="F35" s="24"/>
      <c r="H35" s="24"/>
    </row>
    <row r="36" spans="3:8" x14ac:dyDescent="0.25">
      <c r="C36" s="24"/>
      <c r="D36" s="24"/>
      <c r="E36" s="24"/>
      <c r="F36" s="24"/>
      <c r="H36" s="24"/>
    </row>
    <row r="37" spans="3:8" x14ac:dyDescent="0.25">
      <c r="C37" s="24"/>
      <c r="D37" s="24"/>
      <c r="E37" s="24"/>
      <c r="F37" s="24"/>
      <c r="H37" s="24"/>
    </row>
    <row r="38" spans="3:8" x14ac:dyDescent="0.25">
      <c r="C38" s="24"/>
      <c r="D38" s="24"/>
      <c r="E38" s="24"/>
      <c r="F38" s="24"/>
      <c r="H38" s="24"/>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2"/>
  <sheetViews>
    <sheetView topLeftCell="A10" workbookViewId="0">
      <selection activeCell="I65" sqref="I65"/>
    </sheetView>
  </sheetViews>
  <sheetFormatPr defaultRowHeight="15" x14ac:dyDescent="0.25"/>
  <cols>
    <col min="1" max="1" width="12" customWidth="1"/>
    <col min="2" max="3" width="10.85546875" bestFit="1" customWidth="1"/>
    <col min="4" max="4" width="11.5703125" style="24" bestFit="1" customWidth="1"/>
    <col min="5" max="5" width="11.5703125" bestFit="1" customWidth="1"/>
    <col min="6" max="6" width="10.85546875" bestFit="1" customWidth="1"/>
    <col min="7" max="7" width="16.28515625" customWidth="1"/>
    <col min="8" max="8" width="14.85546875" bestFit="1" customWidth="1"/>
    <col min="9" max="9" width="10.85546875" bestFit="1" customWidth="1"/>
    <col min="10" max="11" width="10.5703125" bestFit="1" customWidth="1"/>
    <col min="15" max="15" width="9.5703125" bestFit="1" customWidth="1"/>
    <col min="16" max="16" width="9.85546875" bestFit="1" customWidth="1"/>
  </cols>
  <sheetData>
    <row r="1" spans="1:16" ht="30" customHeight="1" x14ac:dyDescent="0.25">
      <c r="A1" s="456" t="s">
        <v>491</v>
      </c>
      <c r="B1" s="456"/>
      <c r="C1" s="456"/>
      <c r="D1" s="456"/>
      <c r="E1" s="456"/>
      <c r="F1" s="456"/>
      <c r="G1" s="121"/>
      <c r="H1" s="121"/>
      <c r="I1" s="121"/>
      <c r="J1" s="121"/>
      <c r="K1" s="121"/>
      <c r="L1" s="121"/>
    </row>
    <row r="3" spans="1:16" ht="60.75" thickBot="1" x14ac:dyDescent="0.3">
      <c r="A3" s="98" t="s">
        <v>247</v>
      </c>
      <c r="B3" s="285" t="s">
        <v>248</v>
      </c>
      <c r="C3" s="285" t="s">
        <v>249</v>
      </c>
      <c r="D3" s="286" t="s">
        <v>250</v>
      </c>
      <c r="G3" s="16"/>
      <c r="H3" s="34"/>
      <c r="I3" s="34"/>
      <c r="J3" s="34"/>
      <c r="K3" s="34"/>
      <c r="L3" s="34"/>
      <c r="M3" s="16"/>
      <c r="O3" s="24"/>
      <c r="P3" s="24"/>
    </row>
    <row r="4" spans="1:16" ht="15" customHeight="1" x14ac:dyDescent="0.25">
      <c r="A4" s="473" t="s">
        <v>358</v>
      </c>
      <c r="B4" s="368" t="s">
        <v>239</v>
      </c>
      <c r="C4" s="115" t="s">
        <v>241</v>
      </c>
      <c r="D4" s="142">
        <v>554021</v>
      </c>
      <c r="G4" s="93"/>
      <c r="H4" s="123"/>
      <c r="I4" s="25"/>
      <c r="J4" s="122"/>
      <c r="K4" s="25"/>
      <c r="L4" s="122"/>
    </row>
    <row r="5" spans="1:16" x14ac:dyDescent="0.25">
      <c r="A5" s="474"/>
      <c r="B5" s="368" t="s">
        <v>239</v>
      </c>
      <c r="C5" s="115" t="s">
        <v>240</v>
      </c>
      <c r="D5" s="142">
        <v>966600</v>
      </c>
      <c r="F5" s="16"/>
      <c r="G5" s="16"/>
      <c r="H5" s="123"/>
      <c r="I5" s="25"/>
      <c r="J5" s="122"/>
      <c r="K5" s="25"/>
      <c r="L5" s="122"/>
    </row>
    <row r="6" spans="1:16" x14ac:dyDescent="0.25">
      <c r="A6" s="474"/>
      <c r="B6" s="60" t="s">
        <v>239</v>
      </c>
      <c r="C6" s="115" t="s">
        <v>517</v>
      </c>
      <c r="D6" s="142">
        <v>1285000</v>
      </c>
      <c r="F6" s="16"/>
      <c r="G6" s="16"/>
      <c r="H6" s="123"/>
      <c r="I6" s="25"/>
      <c r="J6" s="122"/>
      <c r="K6" s="25"/>
      <c r="L6" s="122"/>
    </row>
    <row r="7" spans="1:16" x14ac:dyDescent="0.25">
      <c r="A7" s="474"/>
      <c r="B7" s="60" t="s">
        <v>239</v>
      </c>
      <c r="C7" s="115" t="s">
        <v>517</v>
      </c>
      <c r="D7" s="142">
        <v>964500</v>
      </c>
      <c r="F7" s="16"/>
      <c r="G7" s="16"/>
      <c r="H7" s="123"/>
      <c r="I7" s="25"/>
      <c r="J7" s="122"/>
      <c r="K7" s="25"/>
      <c r="L7" s="122"/>
    </row>
    <row r="8" spans="1:16" x14ac:dyDescent="0.25">
      <c r="A8" s="474"/>
      <c r="B8" s="368" t="s">
        <v>239</v>
      </c>
      <c r="C8" s="115" t="s">
        <v>244</v>
      </c>
      <c r="D8" s="142">
        <v>428300</v>
      </c>
      <c r="F8" s="16"/>
      <c r="G8" s="16"/>
      <c r="H8" s="123"/>
      <c r="I8" s="25"/>
      <c r="J8" s="122"/>
      <c r="K8" s="25"/>
      <c r="L8" s="122"/>
    </row>
    <row r="9" spans="1:16" x14ac:dyDescent="0.25">
      <c r="A9" s="474"/>
      <c r="B9" s="60" t="s">
        <v>518</v>
      </c>
      <c r="C9" s="115" t="s">
        <v>236</v>
      </c>
      <c r="D9" s="142">
        <v>4100000</v>
      </c>
      <c r="F9" s="16"/>
      <c r="G9" s="16"/>
      <c r="H9" s="123"/>
      <c r="I9" s="25"/>
      <c r="J9" s="122"/>
      <c r="K9" s="25"/>
      <c r="L9" s="122"/>
    </row>
    <row r="10" spans="1:16" x14ac:dyDescent="0.25">
      <c r="A10" s="474"/>
      <c r="B10" s="60" t="s">
        <v>237</v>
      </c>
      <c r="C10" s="115" t="s">
        <v>238</v>
      </c>
      <c r="D10" s="142">
        <v>7961430</v>
      </c>
      <c r="F10" s="25"/>
      <c r="G10" s="93"/>
      <c r="H10" s="123"/>
    </row>
    <row r="11" spans="1:16" x14ac:dyDescent="0.25">
      <c r="A11" s="474"/>
      <c r="B11" s="370" t="s">
        <v>520</v>
      </c>
      <c r="C11" s="115" t="s">
        <v>233</v>
      </c>
      <c r="D11" s="142">
        <v>4695173</v>
      </c>
      <c r="F11" s="25"/>
      <c r="G11" s="93"/>
      <c r="H11" s="123"/>
    </row>
    <row r="12" spans="1:16" x14ac:dyDescent="0.25">
      <c r="A12" s="474"/>
      <c r="B12" s="2" t="s">
        <v>521</v>
      </c>
      <c r="C12" s="115" t="s">
        <v>234</v>
      </c>
      <c r="D12" s="142">
        <v>1680000</v>
      </c>
      <c r="H12" s="24"/>
    </row>
    <row r="13" spans="1:16" ht="15.75" thickBot="1" x14ac:dyDescent="0.3">
      <c r="A13" s="463"/>
      <c r="B13" s="371" t="s">
        <v>519</v>
      </c>
      <c r="C13" s="372" t="s">
        <v>234</v>
      </c>
      <c r="D13" s="387">
        <v>745995</v>
      </c>
      <c r="H13" s="24"/>
    </row>
    <row r="14" spans="1:16" ht="30.75" thickBot="1" x14ac:dyDescent="0.3">
      <c r="A14" s="323" t="s">
        <v>652</v>
      </c>
      <c r="B14" s="377" t="s">
        <v>516</v>
      </c>
      <c r="C14" s="140" t="s">
        <v>235</v>
      </c>
      <c r="D14" s="329">
        <v>200000</v>
      </c>
      <c r="H14" s="124"/>
    </row>
    <row r="15" spans="1:16" x14ac:dyDescent="0.25">
      <c r="A15" s="462" t="s">
        <v>359</v>
      </c>
      <c r="B15" s="117" t="s">
        <v>522</v>
      </c>
      <c r="C15" s="116" t="s">
        <v>233</v>
      </c>
      <c r="D15" s="330">
        <v>646212</v>
      </c>
    </row>
    <row r="16" spans="1:16" ht="15.75" thickBot="1" x14ac:dyDescent="0.3">
      <c r="A16" s="463"/>
      <c r="B16" s="266" t="s">
        <v>523</v>
      </c>
      <c r="C16" s="140" t="s">
        <v>233</v>
      </c>
      <c r="D16" s="329">
        <v>1331520</v>
      </c>
      <c r="F16" s="24"/>
    </row>
    <row r="17" spans="1:15" ht="15.75" thickBot="1" x14ac:dyDescent="0.3">
      <c r="A17" s="373" t="s">
        <v>18</v>
      </c>
      <c r="B17" s="374" t="s">
        <v>515</v>
      </c>
      <c r="C17" s="375" t="s">
        <v>235</v>
      </c>
      <c r="D17" s="376">
        <v>984250</v>
      </c>
      <c r="F17" s="24"/>
    </row>
    <row r="18" spans="1:15" x14ac:dyDescent="0.25">
      <c r="A18" s="369" t="s">
        <v>17</v>
      </c>
      <c r="B18" s="266" t="s">
        <v>451</v>
      </c>
      <c r="C18" s="140" t="s">
        <v>253</v>
      </c>
      <c r="D18" s="329">
        <v>18000000</v>
      </c>
      <c r="F18" s="24"/>
    </row>
    <row r="19" spans="1:15" x14ac:dyDescent="0.25">
      <c r="A19" s="472" t="s">
        <v>19</v>
      </c>
      <c r="B19" s="472"/>
      <c r="C19" s="472"/>
      <c r="D19" s="145">
        <f>SUM(D4:D18)</f>
        <v>44543001</v>
      </c>
      <c r="E19" s="24"/>
      <c r="O19" s="24"/>
    </row>
    <row r="20" spans="1:15" ht="21" customHeight="1" x14ac:dyDescent="0.25"/>
    <row r="21" spans="1:15" ht="30" customHeight="1" x14ac:dyDescent="0.25">
      <c r="A21" s="456" t="s">
        <v>492</v>
      </c>
      <c r="B21" s="456"/>
      <c r="C21" s="456"/>
      <c r="D21" s="456"/>
      <c r="E21" s="456"/>
      <c r="F21" s="456"/>
    </row>
    <row r="22" spans="1:15" ht="8.25" customHeight="1" x14ac:dyDescent="0.25"/>
    <row r="23" spans="1:15" ht="75" x14ac:dyDescent="0.25">
      <c r="A23" s="113" t="s">
        <v>251</v>
      </c>
      <c r="B23" s="113" t="s">
        <v>40</v>
      </c>
      <c r="C23" s="113" t="s">
        <v>252</v>
      </c>
      <c r="D23" s="113" t="s">
        <v>10</v>
      </c>
      <c r="E23" s="113" t="s">
        <v>493</v>
      </c>
      <c r="F23" s="113" t="s">
        <v>494</v>
      </c>
    </row>
    <row r="24" spans="1:15" x14ac:dyDescent="0.25">
      <c r="A24" s="2" t="s">
        <v>231</v>
      </c>
      <c r="B24" s="60">
        <v>250</v>
      </c>
      <c r="C24" s="142">
        <v>232284418</v>
      </c>
      <c r="D24" s="8">
        <f>C24/C40</f>
        <v>0.83909469242279067</v>
      </c>
      <c r="E24" s="142">
        <v>511350617</v>
      </c>
      <c r="F24" s="8">
        <f>(C24-E24)/E24</f>
        <v>-0.54574335049643641</v>
      </c>
    </row>
    <row r="25" spans="1:15" x14ac:dyDescent="0.25">
      <c r="A25" s="279" t="s">
        <v>253</v>
      </c>
      <c r="B25" s="60">
        <v>5</v>
      </c>
      <c r="C25" s="142">
        <v>18000000</v>
      </c>
      <c r="D25" s="8">
        <f>C25/C40</f>
        <v>6.5022460798942749E-2</v>
      </c>
      <c r="E25" s="142">
        <v>7016282</v>
      </c>
      <c r="F25" s="8">
        <v>1</v>
      </c>
    </row>
    <row r="26" spans="1:15" x14ac:dyDescent="0.25">
      <c r="A26" s="2" t="s">
        <v>238</v>
      </c>
      <c r="B26" s="60">
        <v>1</v>
      </c>
      <c r="C26" s="142">
        <v>7961430</v>
      </c>
      <c r="D26" s="8">
        <f>C26/C40</f>
        <v>2.8759542782140376E-2</v>
      </c>
      <c r="E26" s="142">
        <v>7961430</v>
      </c>
      <c r="F26" s="8">
        <f>(C26-E26)/E26</f>
        <v>0</v>
      </c>
      <c r="G26" s="24"/>
    </row>
    <row r="27" spans="1:15" x14ac:dyDescent="0.25">
      <c r="A27" s="2" t="s">
        <v>233</v>
      </c>
      <c r="B27" s="60">
        <v>3</v>
      </c>
      <c r="C27" s="142">
        <v>6672905</v>
      </c>
      <c r="D27" s="8">
        <f>C27/C40</f>
        <v>2.4104927987642726E-2</v>
      </c>
      <c r="E27" s="142">
        <v>8308831</v>
      </c>
      <c r="F27" s="8">
        <f>(C27-E27)/E27</f>
        <v>-0.19689003182276785</v>
      </c>
      <c r="G27" s="24"/>
    </row>
    <row r="28" spans="1:15" x14ac:dyDescent="0.25">
      <c r="A28" s="2" t="s">
        <v>236</v>
      </c>
      <c r="B28" s="60">
        <v>1</v>
      </c>
      <c r="C28" s="142">
        <v>4100000</v>
      </c>
      <c r="D28" s="8">
        <f>C28/C40</f>
        <v>1.481067162642585E-2</v>
      </c>
      <c r="E28" s="142">
        <v>24600</v>
      </c>
      <c r="F28" s="8">
        <f>(C28-E28)/E28</f>
        <v>165.66666666666666</v>
      </c>
      <c r="G28" s="24"/>
    </row>
    <row r="29" spans="1:15" x14ac:dyDescent="0.25">
      <c r="A29" s="2" t="s">
        <v>234</v>
      </c>
      <c r="B29" s="60">
        <v>2</v>
      </c>
      <c r="C29" s="142">
        <v>2425995</v>
      </c>
      <c r="D29" s="8">
        <f>C29/C40</f>
        <v>8.7635647103295067E-3</v>
      </c>
      <c r="E29" s="142">
        <v>2403680</v>
      </c>
      <c r="F29" s="8">
        <f>(C29-E29)/E29</f>
        <v>9.2836816880782803E-3</v>
      </c>
      <c r="G29" s="24"/>
    </row>
    <row r="30" spans="1:15" x14ac:dyDescent="0.25">
      <c r="A30" s="2" t="s">
        <v>517</v>
      </c>
      <c r="B30" s="60">
        <v>2</v>
      </c>
      <c r="C30" s="142">
        <v>2249500</v>
      </c>
      <c r="D30" s="8">
        <f>C30/C40</f>
        <v>8.1260014204012059E-3</v>
      </c>
      <c r="E30" s="142">
        <v>0</v>
      </c>
      <c r="F30" s="8">
        <v>0</v>
      </c>
    </row>
    <row r="31" spans="1:15" x14ac:dyDescent="0.25">
      <c r="A31" s="2" t="s">
        <v>235</v>
      </c>
      <c r="B31" s="60">
        <v>2</v>
      </c>
      <c r="C31" s="142">
        <v>1184250</v>
      </c>
      <c r="D31" s="8">
        <f>C31/C40</f>
        <v>4.2779360667304419E-3</v>
      </c>
      <c r="E31" s="142">
        <v>15047796</v>
      </c>
      <c r="F31" s="8">
        <f t="shared" ref="F31:F40" si="0">(C31-E31)/E31</f>
        <v>-0.92130076723528154</v>
      </c>
    </row>
    <row r="32" spans="1:15" x14ac:dyDescent="0.25">
      <c r="A32" s="2" t="s">
        <v>240</v>
      </c>
      <c r="B32" s="60">
        <v>1</v>
      </c>
      <c r="C32" s="142">
        <v>966600</v>
      </c>
      <c r="D32" s="8">
        <f>C32/C40</f>
        <v>3.4917061449032259E-3</v>
      </c>
      <c r="E32" s="142">
        <v>342900</v>
      </c>
      <c r="F32" s="8">
        <f t="shared" si="0"/>
        <v>1.8188976377952757</v>
      </c>
    </row>
    <row r="33" spans="1:9" x14ac:dyDescent="0.25">
      <c r="A33" s="2" t="s">
        <v>241</v>
      </c>
      <c r="B33" s="60">
        <v>2</v>
      </c>
      <c r="C33" s="142">
        <v>554021</v>
      </c>
      <c r="D33" s="8">
        <f>C33/C40</f>
        <v>2.0013227085717259E-3</v>
      </c>
      <c r="E33" s="142">
        <v>1093823</v>
      </c>
      <c r="F33" s="8">
        <f t="shared" si="0"/>
        <v>-0.49350031952153134</v>
      </c>
    </row>
    <row r="34" spans="1:9" x14ac:dyDescent="0.25">
      <c r="A34" s="2" t="s">
        <v>244</v>
      </c>
      <c r="B34" s="60">
        <v>1</v>
      </c>
      <c r="C34" s="142">
        <v>428300</v>
      </c>
      <c r="D34" s="8">
        <f>C34/C40</f>
        <v>1.54717333112151E-3</v>
      </c>
      <c r="E34" s="142">
        <v>25254430</v>
      </c>
      <c r="F34" s="8">
        <f t="shared" si="0"/>
        <v>-0.98304059921368248</v>
      </c>
      <c r="H34" s="24"/>
    </row>
    <row r="35" spans="1:9" x14ac:dyDescent="0.25">
      <c r="A35" s="2" t="s">
        <v>232</v>
      </c>
      <c r="B35" s="60">
        <v>0</v>
      </c>
      <c r="C35" s="142">
        <v>0</v>
      </c>
      <c r="D35" s="8">
        <f>C35/C40</f>
        <v>0</v>
      </c>
      <c r="E35" s="142">
        <v>501840</v>
      </c>
      <c r="F35" s="8">
        <f t="shared" si="0"/>
        <v>-1</v>
      </c>
    </row>
    <row r="36" spans="1:9" x14ac:dyDescent="0.25">
      <c r="A36" s="2" t="s">
        <v>246</v>
      </c>
      <c r="B36" s="60">
        <v>0</v>
      </c>
      <c r="C36" s="142">
        <v>0</v>
      </c>
      <c r="D36" s="8">
        <f>C36/C40</f>
        <v>0</v>
      </c>
      <c r="E36" s="142">
        <v>1555959</v>
      </c>
      <c r="F36" s="8">
        <f t="shared" si="0"/>
        <v>-1</v>
      </c>
    </row>
    <row r="37" spans="1:9" x14ac:dyDescent="0.25">
      <c r="A37" s="2" t="s">
        <v>254</v>
      </c>
      <c r="B37" s="60">
        <v>0</v>
      </c>
      <c r="C37" s="142">
        <v>0</v>
      </c>
      <c r="D37" s="8">
        <v>0</v>
      </c>
      <c r="E37" s="142">
        <v>974992</v>
      </c>
      <c r="F37" s="8">
        <f t="shared" si="0"/>
        <v>-1</v>
      </c>
    </row>
    <row r="38" spans="1:9" x14ac:dyDescent="0.25">
      <c r="A38" s="2" t="s">
        <v>243</v>
      </c>
      <c r="B38" s="60">
        <v>0</v>
      </c>
      <c r="C38" s="142">
        <v>0</v>
      </c>
      <c r="D38" s="8">
        <f>C38/C40</f>
        <v>0</v>
      </c>
      <c r="E38" s="142">
        <v>547891</v>
      </c>
      <c r="F38" s="8">
        <f t="shared" si="0"/>
        <v>-1</v>
      </c>
    </row>
    <row r="39" spans="1:9" x14ac:dyDescent="0.25">
      <c r="A39" s="2" t="s">
        <v>242</v>
      </c>
      <c r="B39" s="60">
        <v>0</v>
      </c>
      <c r="C39" s="142">
        <v>0</v>
      </c>
      <c r="D39" s="8">
        <f>C39/C40</f>
        <v>0</v>
      </c>
      <c r="E39" s="142">
        <v>66241157</v>
      </c>
      <c r="F39" s="8">
        <f t="shared" si="0"/>
        <v>-1</v>
      </c>
      <c r="H39" s="31"/>
      <c r="I39" s="24"/>
    </row>
    <row r="40" spans="1:9" x14ac:dyDescent="0.25">
      <c r="A40" s="143" t="s">
        <v>19</v>
      </c>
      <c r="B40" s="144">
        <f>SUM(B24:B39)</f>
        <v>270</v>
      </c>
      <c r="C40" s="145">
        <f>SUM(C24:C39)</f>
        <v>276827419</v>
      </c>
      <c r="D40" s="146">
        <f>SUM(D24:D39)</f>
        <v>0.99999999999999978</v>
      </c>
      <c r="E40" s="145">
        <f>SUM(E24:E39)</f>
        <v>648626228</v>
      </c>
      <c r="F40" s="146">
        <f t="shared" si="0"/>
        <v>-0.57320964362853366</v>
      </c>
    </row>
    <row r="41" spans="1:9" x14ac:dyDescent="0.25">
      <c r="H41" s="24"/>
    </row>
    <row r="42" spans="1:9" ht="28.5" customHeight="1" x14ac:dyDescent="0.25">
      <c r="A42" s="470" t="s">
        <v>495</v>
      </c>
      <c r="B42" s="470"/>
      <c r="C42" s="470"/>
      <c r="D42" s="470"/>
      <c r="E42" s="470"/>
      <c r="F42" s="470"/>
      <c r="H42" s="24"/>
    </row>
    <row r="43" spans="1:9" ht="10.5" customHeight="1" x14ac:dyDescent="0.25"/>
    <row r="44" spans="1:9" ht="60" x14ac:dyDescent="0.25">
      <c r="A44" s="119" t="s">
        <v>272</v>
      </c>
      <c r="B44" s="280" t="s">
        <v>40</v>
      </c>
      <c r="C44" s="280" t="s">
        <v>10</v>
      </c>
      <c r="D44" s="118" t="s">
        <v>6</v>
      </c>
      <c r="E44" s="280" t="s">
        <v>10</v>
      </c>
    </row>
    <row r="45" spans="1:9" x14ac:dyDescent="0.25">
      <c r="A45" s="2" t="s">
        <v>273</v>
      </c>
      <c r="B45" s="60">
        <v>250</v>
      </c>
      <c r="C45" s="62">
        <f>B45/B48</f>
        <v>0.92592592592592593</v>
      </c>
      <c r="D45" s="142">
        <v>232284418</v>
      </c>
      <c r="E45" s="62">
        <f>D45/D48</f>
        <v>0.83909469242279067</v>
      </c>
    </row>
    <row r="46" spans="1:9" ht="60" x14ac:dyDescent="0.25">
      <c r="A46" s="10" t="s">
        <v>274</v>
      </c>
      <c r="B46" s="60">
        <v>17</v>
      </c>
      <c r="C46" s="62">
        <f>B46/B48</f>
        <v>6.2962962962962957E-2</v>
      </c>
      <c r="D46" s="142">
        <v>38193501</v>
      </c>
      <c r="E46" s="62">
        <f>D46/D48</f>
        <v>0.13796863453038227</v>
      </c>
      <c r="G46" s="24"/>
    </row>
    <row r="47" spans="1:9" x14ac:dyDescent="0.25">
      <c r="A47" s="2" t="s">
        <v>275</v>
      </c>
      <c r="B47" s="60">
        <v>3</v>
      </c>
      <c r="C47" s="62">
        <f>B47/B48</f>
        <v>1.1111111111111112E-2</v>
      </c>
      <c r="D47" s="142">
        <v>6349500</v>
      </c>
      <c r="E47" s="62">
        <f>D47/D48</f>
        <v>2.2936673046827057E-2</v>
      </c>
      <c r="F47" s="149"/>
      <c r="G47" s="24"/>
    </row>
    <row r="48" spans="1:9" x14ac:dyDescent="0.25">
      <c r="A48" s="135" t="s">
        <v>19</v>
      </c>
      <c r="B48" s="132">
        <f>SUM(B45:B47)</f>
        <v>270</v>
      </c>
      <c r="C48" s="134">
        <f>SUM(C45:C47)</f>
        <v>1</v>
      </c>
      <c r="D48" s="133">
        <f>SUM(D45:D47)</f>
        <v>276827419</v>
      </c>
      <c r="E48" s="134">
        <f>SUM(E45:E47)</f>
        <v>1</v>
      </c>
    </row>
    <row r="49" spans="1:10" ht="9" customHeight="1" x14ac:dyDescent="0.25"/>
    <row r="50" spans="1:10" ht="26.25" customHeight="1" x14ac:dyDescent="0.25">
      <c r="A50" s="456" t="s">
        <v>496</v>
      </c>
      <c r="B50" s="456"/>
      <c r="C50" s="456"/>
      <c r="D50" s="456"/>
      <c r="E50" s="456"/>
      <c r="F50" s="456"/>
      <c r="G50" s="456"/>
    </row>
    <row r="51" spans="1:10" ht="6.75" customHeight="1" x14ac:dyDescent="0.25"/>
    <row r="52" spans="1:10" ht="45" x14ac:dyDescent="0.25">
      <c r="A52" s="119" t="s">
        <v>272</v>
      </c>
      <c r="B52" s="120" t="s">
        <v>276</v>
      </c>
      <c r="C52" s="280" t="s">
        <v>10</v>
      </c>
      <c r="D52" s="118" t="s">
        <v>277</v>
      </c>
      <c r="E52" s="280" t="s">
        <v>10</v>
      </c>
      <c r="F52" s="120" t="s">
        <v>452</v>
      </c>
      <c r="G52" s="119" t="s">
        <v>278</v>
      </c>
    </row>
    <row r="53" spans="1:10" x14ac:dyDescent="0.25">
      <c r="A53" s="2" t="s">
        <v>279</v>
      </c>
      <c r="B53" s="142">
        <v>37466584</v>
      </c>
      <c r="C53" s="62">
        <f>B53/B55</f>
        <v>0.67548028557157946</v>
      </c>
      <c r="D53" s="142">
        <v>144858924</v>
      </c>
      <c r="E53" s="62">
        <f>D53/D55</f>
        <v>0.88285138762493642</v>
      </c>
      <c r="F53" s="142">
        <v>49958910</v>
      </c>
      <c r="G53" s="62">
        <f>F53/F55</f>
        <v>0.87218648689689282</v>
      </c>
      <c r="H53" s="24"/>
      <c r="I53" s="24"/>
      <c r="J53" s="24"/>
    </row>
    <row r="54" spans="1:10" x14ac:dyDescent="0.25">
      <c r="A54" s="2" t="s">
        <v>280</v>
      </c>
      <c r="B54" s="142">
        <v>18000000</v>
      </c>
      <c r="C54" s="62">
        <f>B54/B55</f>
        <v>0.32451971442842054</v>
      </c>
      <c r="D54" s="142">
        <v>19221833</v>
      </c>
      <c r="E54" s="62">
        <f>D54/D55</f>
        <v>0.11714861237506358</v>
      </c>
      <c r="F54" s="142">
        <v>7321168</v>
      </c>
      <c r="G54" s="62">
        <f>F54/F55</f>
        <v>0.12781351310310715</v>
      </c>
      <c r="H54" s="136"/>
      <c r="I54" s="137"/>
    </row>
    <row r="55" spans="1:10" x14ac:dyDescent="0.25">
      <c r="A55" s="135" t="s">
        <v>281</v>
      </c>
      <c r="B55" s="133">
        <f t="shared" ref="B55:G55" si="1">SUM(B53:B54)</f>
        <v>55466584</v>
      </c>
      <c r="C55" s="134">
        <f t="shared" si="1"/>
        <v>1</v>
      </c>
      <c r="D55" s="133">
        <f t="shared" si="1"/>
        <v>164080757</v>
      </c>
      <c r="E55" s="134">
        <f t="shared" si="1"/>
        <v>1</v>
      </c>
      <c r="F55" s="133">
        <f t="shared" si="1"/>
        <v>57280078</v>
      </c>
      <c r="G55" s="134">
        <f t="shared" si="1"/>
        <v>1</v>
      </c>
      <c r="H55" s="24"/>
      <c r="I55" s="137"/>
    </row>
    <row r="56" spans="1:10" x14ac:dyDescent="0.25">
      <c r="H56" s="24"/>
    </row>
    <row r="57" spans="1:10" x14ac:dyDescent="0.25">
      <c r="A57" s="307" t="s">
        <v>497</v>
      </c>
      <c r="F57" s="24"/>
      <c r="G57" s="24"/>
    </row>
    <row r="58" spans="1:10" x14ac:dyDescent="0.25">
      <c r="G58" s="24"/>
    </row>
    <row r="59" spans="1:10" ht="27" customHeight="1" x14ac:dyDescent="0.25">
      <c r="A59" s="464" t="s">
        <v>28</v>
      </c>
      <c r="B59" s="444" t="s">
        <v>282</v>
      </c>
      <c r="C59" s="444"/>
      <c r="D59" s="467" t="s">
        <v>284</v>
      </c>
      <c r="E59" s="468"/>
      <c r="F59" s="468"/>
      <c r="G59" s="469"/>
    </row>
    <row r="60" spans="1:10" x14ac:dyDescent="0.25">
      <c r="A60" s="466"/>
      <c r="B60" s="464" t="s">
        <v>273</v>
      </c>
      <c r="C60" s="464" t="s">
        <v>283</v>
      </c>
      <c r="D60" s="471" t="s">
        <v>273</v>
      </c>
      <c r="E60" s="471"/>
      <c r="F60" s="454" t="s">
        <v>283</v>
      </c>
      <c r="G60" s="450"/>
    </row>
    <row r="61" spans="1:10" x14ac:dyDescent="0.25">
      <c r="A61" s="465"/>
      <c r="B61" s="465"/>
      <c r="C61" s="465"/>
      <c r="D61" s="147" t="s">
        <v>285</v>
      </c>
      <c r="E61" s="138" t="s">
        <v>10</v>
      </c>
      <c r="F61" s="138" t="s">
        <v>285</v>
      </c>
      <c r="G61" s="138" t="s">
        <v>10</v>
      </c>
    </row>
    <row r="62" spans="1:10" ht="45" x14ac:dyDescent="0.25">
      <c r="A62" s="10" t="s">
        <v>357</v>
      </c>
      <c r="B62" s="60">
        <v>7</v>
      </c>
      <c r="C62" s="60">
        <v>1</v>
      </c>
      <c r="D62" s="142">
        <v>18020040</v>
      </c>
      <c r="E62" s="62">
        <f>D62/D70</f>
        <v>7.7577480896716886E-2</v>
      </c>
      <c r="F62" s="142">
        <v>200000</v>
      </c>
      <c r="G62" s="62">
        <f>F62/F70</f>
        <v>4.4900432281156808E-3</v>
      </c>
      <c r="H62" s="24"/>
      <c r="J62" s="24"/>
    </row>
    <row r="63" spans="1:10" ht="30" x14ac:dyDescent="0.25">
      <c r="A63" s="10" t="s">
        <v>358</v>
      </c>
      <c r="B63" s="60">
        <v>203</v>
      </c>
      <c r="C63" s="60">
        <v>11</v>
      </c>
      <c r="D63" s="142">
        <v>95089138</v>
      </c>
      <c r="E63" s="62">
        <f>D63/D70</f>
        <v>0.40936511720730229</v>
      </c>
      <c r="F63" s="142">
        <v>23381019</v>
      </c>
      <c r="G63" s="62">
        <f>F63/F70</f>
        <v>0.52490893013697038</v>
      </c>
      <c r="H63" s="24"/>
      <c r="I63" s="24"/>
      <c r="J63" s="24"/>
    </row>
    <row r="64" spans="1:10" ht="30" x14ac:dyDescent="0.25">
      <c r="A64" s="10" t="s">
        <v>359</v>
      </c>
      <c r="B64" s="60">
        <v>9</v>
      </c>
      <c r="C64" s="60">
        <v>2</v>
      </c>
      <c r="D64" s="142">
        <v>28342671</v>
      </c>
      <c r="E64" s="62">
        <f>D64/D70</f>
        <v>0.12201709974364272</v>
      </c>
      <c r="F64" s="142">
        <v>1977732</v>
      </c>
      <c r="G64" s="62">
        <f>F64/F70</f>
        <v>4.4400510868138406E-2</v>
      </c>
      <c r="H64" s="24"/>
      <c r="J64" s="24"/>
    </row>
    <row r="65" spans="1:10" ht="30" x14ac:dyDescent="0.25">
      <c r="A65" s="10" t="s">
        <v>677</v>
      </c>
      <c r="B65" s="60">
        <v>13</v>
      </c>
      <c r="C65" s="60">
        <v>0</v>
      </c>
      <c r="D65" s="142">
        <v>25820171</v>
      </c>
      <c r="E65" s="62">
        <f>D65/D70</f>
        <v>0.11115756804660053</v>
      </c>
      <c r="F65" s="142">
        <v>0</v>
      </c>
      <c r="G65" s="62">
        <f>F65/F70</f>
        <v>0</v>
      </c>
      <c r="H65" s="24"/>
      <c r="J65" s="25"/>
    </row>
    <row r="66" spans="1:10" ht="30" x14ac:dyDescent="0.25">
      <c r="A66" s="10" t="s">
        <v>15</v>
      </c>
      <c r="B66" s="60">
        <v>9</v>
      </c>
      <c r="C66" s="60">
        <v>0</v>
      </c>
      <c r="D66" s="142">
        <v>55229607</v>
      </c>
      <c r="E66" s="62">
        <f>D66/D70</f>
        <v>0.23776716266865563</v>
      </c>
      <c r="F66" s="142">
        <v>0</v>
      </c>
      <c r="G66" s="62">
        <f>F66/F70</f>
        <v>0</v>
      </c>
      <c r="H66" s="24"/>
    </row>
    <row r="67" spans="1:10" ht="30" x14ac:dyDescent="0.25">
      <c r="A67" s="10" t="s">
        <v>16</v>
      </c>
      <c r="B67" s="60">
        <v>3</v>
      </c>
      <c r="C67" s="60">
        <v>0</v>
      </c>
      <c r="D67" s="142">
        <v>5949300</v>
      </c>
      <c r="E67" s="62">
        <f>D67/D70</f>
        <v>2.5612135550134061E-2</v>
      </c>
      <c r="F67" s="142">
        <v>0</v>
      </c>
      <c r="G67" s="62">
        <f>F67/F70</f>
        <v>0</v>
      </c>
      <c r="H67" s="24"/>
    </row>
    <row r="68" spans="1:10" x14ac:dyDescent="0.25">
      <c r="A68" s="2" t="s">
        <v>17</v>
      </c>
      <c r="B68" s="60">
        <v>5</v>
      </c>
      <c r="C68" s="60">
        <v>5</v>
      </c>
      <c r="D68" s="142">
        <v>2897307</v>
      </c>
      <c r="E68" s="62">
        <f>D68/D70</f>
        <v>1.247310097227443E-2</v>
      </c>
      <c r="F68" s="142">
        <v>18000000</v>
      </c>
      <c r="G68" s="62">
        <f>F68/F70</f>
        <v>0.40410389053041129</v>
      </c>
      <c r="H68" s="24"/>
      <c r="J68" s="24"/>
    </row>
    <row r="69" spans="1:10" x14ac:dyDescent="0.25">
      <c r="A69" s="2" t="s">
        <v>18</v>
      </c>
      <c r="B69" s="60">
        <v>1</v>
      </c>
      <c r="C69" s="60">
        <v>1</v>
      </c>
      <c r="D69" s="142">
        <v>936184</v>
      </c>
      <c r="E69" s="62">
        <f>D69/D70</f>
        <v>4.0303349146734412E-3</v>
      </c>
      <c r="F69" s="142">
        <v>984250</v>
      </c>
      <c r="G69" s="62">
        <f>F69/F70</f>
        <v>2.2096625236364294E-2</v>
      </c>
      <c r="H69" s="24"/>
      <c r="J69" s="24"/>
    </row>
    <row r="70" spans="1:10" x14ac:dyDescent="0.25">
      <c r="A70" s="148" t="s">
        <v>19</v>
      </c>
      <c r="B70" s="132">
        <f t="shared" ref="B70:G70" si="2">SUM(B62:B69)</f>
        <v>250</v>
      </c>
      <c r="C70" s="132">
        <f t="shared" si="2"/>
        <v>20</v>
      </c>
      <c r="D70" s="133">
        <f t="shared" si="2"/>
        <v>232284418</v>
      </c>
      <c r="E70" s="134">
        <f t="shared" si="2"/>
        <v>0.99999999999999989</v>
      </c>
      <c r="F70" s="133">
        <f t="shared" si="2"/>
        <v>44543001</v>
      </c>
      <c r="G70" s="134">
        <f t="shared" si="2"/>
        <v>1</v>
      </c>
      <c r="H70" s="24"/>
      <c r="I70" s="24"/>
    </row>
    <row r="72" spans="1:10" x14ac:dyDescent="0.25">
      <c r="F72" s="24"/>
      <c r="H72" s="24"/>
      <c r="I72" s="24"/>
    </row>
  </sheetData>
  <mergeCells count="14">
    <mergeCell ref="A15:A16"/>
    <mergeCell ref="A1:F1"/>
    <mergeCell ref="C60:C61"/>
    <mergeCell ref="B60:B61"/>
    <mergeCell ref="A59:A61"/>
    <mergeCell ref="F60:G60"/>
    <mergeCell ref="D59:G59"/>
    <mergeCell ref="A42:F42"/>
    <mergeCell ref="A50:G50"/>
    <mergeCell ref="B59:C59"/>
    <mergeCell ref="D60:E60"/>
    <mergeCell ref="A19:C19"/>
    <mergeCell ref="A21:F21"/>
    <mergeCell ref="A4:A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05"/>
  <sheetViews>
    <sheetView workbookViewId="0">
      <selection activeCell="P27" sqref="P27"/>
    </sheetView>
  </sheetViews>
  <sheetFormatPr defaultRowHeight="15" x14ac:dyDescent="0.25"/>
  <cols>
    <col min="1" max="1" width="9" customWidth="1"/>
    <col min="2" max="2" width="10.42578125" bestFit="1" customWidth="1"/>
    <col min="3" max="3" width="11.85546875" customWidth="1"/>
    <col min="4" max="4" width="10.42578125" bestFit="1" customWidth="1"/>
    <col min="5" max="7" width="10.5703125" bestFit="1" customWidth="1"/>
    <col min="9" max="9" width="9.85546875" bestFit="1" customWidth="1"/>
  </cols>
  <sheetData>
    <row r="1" spans="1:6" x14ac:dyDescent="0.25">
      <c r="A1" s="307" t="s">
        <v>498</v>
      </c>
    </row>
    <row r="2" spans="1:6" ht="11.25" customHeight="1" x14ac:dyDescent="0.25">
      <c r="A2" s="108"/>
    </row>
    <row r="3" spans="1:6" ht="60" x14ac:dyDescent="0.25">
      <c r="A3" s="120" t="s">
        <v>208</v>
      </c>
      <c r="B3" s="251" t="s">
        <v>412</v>
      </c>
      <c r="C3" s="131" t="s">
        <v>270</v>
      </c>
      <c r="D3" s="252" t="s">
        <v>411</v>
      </c>
      <c r="E3" s="120" t="s">
        <v>270</v>
      </c>
    </row>
    <row r="4" spans="1:6" x14ac:dyDescent="0.25">
      <c r="A4" s="2" t="s">
        <v>178</v>
      </c>
      <c r="B4" s="253" t="s">
        <v>258</v>
      </c>
      <c r="C4" s="81">
        <f>E4+E5</f>
        <v>1977732</v>
      </c>
      <c r="D4" s="254" t="s">
        <v>522</v>
      </c>
      <c r="E4" s="291">
        <v>646212</v>
      </c>
    </row>
    <row r="5" spans="1:6" x14ac:dyDescent="0.25">
      <c r="A5" s="2"/>
      <c r="B5" s="157" t="s">
        <v>262</v>
      </c>
      <c r="C5" s="81">
        <f>E6+E7+E8+E9+E10+E11</f>
        <v>8298421</v>
      </c>
      <c r="D5" s="379" t="s">
        <v>523</v>
      </c>
      <c r="E5" s="380">
        <v>1331520</v>
      </c>
    </row>
    <row r="6" spans="1:6" x14ac:dyDescent="0.25">
      <c r="A6" s="2"/>
      <c r="B6" s="255" t="s">
        <v>245</v>
      </c>
      <c r="C6" s="81">
        <f>E12</f>
        <v>984250</v>
      </c>
      <c r="D6" s="257" t="s">
        <v>239</v>
      </c>
      <c r="E6" s="290">
        <v>554021</v>
      </c>
      <c r="F6" s="24"/>
    </row>
    <row r="7" spans="1:6" x14ac:dyDescent="0.25">
      <c r="A7" s="2"/>
      <c r="B7" s="154" t="s">
        <v>266</v>
      </c>
      <c r="C7" s="81">
        <f>E13</f>
        <v>7961430</v>
      </c>
      <c r="D7" s="257" t="s">
        <v>239</v>
      </c>
      <c r="E7" s="381">
        <v>966600</v>
      </c>
    </row>
    <row r="8" spans="1:6" x14ac:dyDescent="0.25">
      <c r="A8" s="2" t="s">
        <v>177</v>
      </c>
      <c r="B8" s="2" t="s">
        <v>293</v>
      </c>
      <c r="C8" s="81">
        <f>E14</f>
        <v>18000000</v>
      </c>
      <c r="D8" s="257" t="s">
        <v>239</v>
      </c>
      <c r="E8" s="290">
        <v>1285000</v>
      </c>
    </row>
    <row r="9" spans="1:6" ht="30" x14ac:dyDescent="0.25">
      <c r="A9" s="10" t="s">
        <v>682</v>
      </c>
      <c r="B9" s="260" t="s">
        <v>269</v>
      </c>
      <c r="C9" s="81">
        <f>E15+E16</f>
        <v>2425995</v>
      </c>
      <c r="D9" s="257" t="s">
        <v>239</v>
      </c>
      <c r="E9" s="381">
        <v>964500</v>
      </c>
      <c r="F9" s="24"/>
    </row>
    <row r="10" spans="1:6" x14ac:dyDescent="0.25">
      <c r="A10" s="2"/>
      <c r="B10" s="259" t="s">
        <v>640</v>
      </c>
      <c r="C10" s="81">
        <f>E17</f>
        <v>200000</v>
      </c>
      <c r="D10" s="257" t="s">
        <v>239</v>
      </c>
      <c r="E10" s="290">
        <v>428300</v>
      </c>
    </row>
    <row r="11" spans="1:6" x14ac:dyDescent="0.25">
      <c r="A11" s="2"/>
      <c r="B11" s="262" t="s">
        <v>641</v>
      </c>
      <c r="C11" s="81">
        <f>E18</f>
        <v>4695173</v>
      </c>
      <c r="D11" s="257" t="s">
        <v>518</v>
      </c>
      <c r="E11" s="290">
        <v>4100000</v>
      </c>
    </row>
    <row r="12" spans="1:6" x14ac:dyDescent="0.25">
      <c r="A12" s="2"/>
      <c r="B12" s="2"/>
      <c r="C12" s="126"/>
      <c r="D12" s="256" t="s">
        <v>515</v>
      </c>
      <c r="E12" s="382">
        <v>984250</v>
      </c>
    </row>
    <row r="13" spans="1:6" x14ac:dyDescent="0.25">
      <c r="A13" s="2"/>
      <c r="B13" s="2"/>
      <c r="C13" s="126"/>
      <c r="D13" s="258" t="s">
        <v>237</v>
      </c>
      <c r="E13" s="292">
        <v>7961430</v>
      </c>
    </row>
    <row r="14" spans="1:6" x14ac:dyDescent="0.25">
      <c r="A14" s="68"/>
      <c r="B14" s="60"/>
      <c r="C14" s="384"/>
      <c r="D14" t="s">
        <v>451</v>
      </c>
      <c r="E14" s="125">
        <v>18000000</v>
      </c>
    </row>
    <row r="15" spans="1:6" x14ac:dyDescent="0.25">
      <c r="A15" s="68"/>
      <c r="B15" s="2"/>
      <c r="C15" s="81"/>
      <c r="D15" s="261" t="s">
        <v>521</v>
      </c>
      <c r="E15" s="383">
        <v>1680000</v>
      </c>
    </row>
    <row r="16" spans="1:6" x14ac:dyDescent="0.25">
      <c r="A16" s="68"/>
      <c r="B16" s="2"/>
      <c r="C16" s="126"/>
      <c r="D16" s="261" t="s">
        <v>519</v>
      </c>
      <c r="E16" s="383">
        <v>745995</v>
      </c>
    </row>
    <row r="17" spans="1:6" x14ac:dyDescent="0.25">
      <c r="A17" s="2"/>
      <c r="B17" s="2"/>
      <c r="C17" s="126"/>
      <c r="D17" s="406" t="s">
        <v>516</v>
      </c>
      <c r="E17" s="407">
        <v>200000</v>
      </c>
    </row>
    <row r="18" spans="1:6" x14ac:dyDescent="0.25">
      <c r="A18" s="2"/>
      <c r="B18" s="2"/>
      <c r="C18" s="126"/>
      <c r="D18" s="263" t="s">
        <v>520</v>
      </c>
      <c r="E18" s="293">
        <v>4695173</v>
      </c>
      <c r="F18" s="24"/>
    </row>
    <row r="19" spans="1:6" ht="11.25" customHeight="1" x14ac:dyDescent="0.25">
      <c r="A19" s="16"/>
      <c r="B19" s="16"/>
      <c r="C19" s="16"/>
      <c r="D19" s="16"/>
      <c r="E19" s="24"/>
    </row>
    <row r="20" spans="1:6" x14ac:dyDescent="0.25">
      <c r="B20" s="16" t="s">
        <v>258</v>
      </c>
      <c r="C20" t="s">
        <v>260</v>
      </c>
    </row>
    <row r="21" spans="1:6" x14ac:dyDescent="0.25">
      <c r="B21" t="s">
        <v>262</v>
      </c>
      <c r="C21" t="s">
        <v>261</v>
      </c>
    </row>
    <row r="22" spans="1:6" x14ac:dyDescent="0.25">
      <c r="B22" t="s">
        <v>245</v>
      </c>
      <c r="C22" t="s">
        <v>263</v>
      </c>
    </row>
    <row r="23" spans="1:6" x14ac:dyDescent="0.25">
      <c r="B23" t="s">
        <v>266</v>
      </c>
      <c r="C23" t="s">
        <v>265</v>
      </c>
    </row>
    <row r="24" spans="1:6" x14ac:dyDescent="0.25">
      <c r="B24" t="s">
        <v>293</v>
      </c>
      <c r="C24" t="s">
        <v>455</v>
      </c>
    </row>
    <row r="25" spans="1:6" x14ac:dyDescent="0.25">
      <c r="B25" t="s">
        <v>269</v>
      </c>
      <c r="C25" t="s">
        <v>642</v>
      </c>
    </row>
    <row r="26" spans="1:6" x14ac:dyDescent="0.25">
      <c r="B26" t="s">
        <v>640</v>
      </c>
      <c r="C26" t="s">
        <v>643</v>
      </c>
    </row>
    <row r="27" spans="1:6" x14ac:dyDescent="0.25">
      <c r="B27" t="s">
        <v>641</v>
      </c>
      <c r="C27" t="s">
        <v>644</v>
      </c>
    </row>
    <row r="31" spans="1:6" ht="10.5" customHeight="1" x14ac:dyDescent="0.25"/>
    <row r="32" spans="1:6" x14ac:dyDescent="0.25">
      <c r="A32" s="307" t="s">
        <v>499</v>
      </c>
    </row>
    <row r="34" spans="1:9" ht="60" x14ac:dyDescent="0.25">
      <c r="A34" s="119" t="s">
        <v>249</v>
      </c>
      <c r="B34" s="119" t="s">
        <v>248</v>
      </c>
      <c r="C34" s="120" t="s">
        <v>271</v>
      </c>
      <c r="D34" s="385" t="s">
        <v>10</v>
      </c>
    </row>
    <row r="35" spans="1:9" x14ac:dyDescent="0.25">
      <c r="A35" s="391" t="s">
        <v>253</v>
      </c>
      <c r="B35" s="2" t="s">
        <v>451</v>
      </c>
      <c r="C35" s="129">
        <v>18</v>
      </c>
      <c r="D35" s="8">
        <f>C35/C49</f>
        <v>0.40413111809609342</v>
      </c>
    </row>
    <row r="36" spans="1:9" x14ac:dyDescent="0.25">
      <c r="A36" s="477" t="s">
        <v>234</v>
      </c>
      <c r="B36" s="2" t="s">
        <v>521</v>
      </c>
      <c r="C36" s="129">
        <v>1.68</v>
      </c>
      <c r="D36" s="8">
        <f>C36/C49</f>
        <v>3.771890435563538E-2</v>
      </c>
    </row>
    <row r="37" spans="1:9" x14ac:dyDescent="0.25">
      <c r="A37" s="478"/>
      <c r="B37" s="2" t="s">
        <v>519</v>
      </c>
      <c r="C37" s="129">
        <v>0.75</v>
      </c>
      <c r="D37" s="8">
        <f>C37/C49</f>
        <v>1.6838796587337224E-2</v>
      </c>
      <c r="E37" s="288"/>
    </row>
    <row r="38" spans="1:9" x14ac:dyDescent="0.25">
      <c r="A38" s="477" t="s">
        <v>235</v>
      </c>
      <c r="B38" s="111" t="s">
        <v>515</v>
      </c>
      <c r="C38" s="130">
        <v>0.98</v>
      </c>
      <c r="D38" s="8">
        <f>C38/C49</f>
        <v>2.2002694207453974E-2</v>
      </c>
    </row>
    <row r="39" spans="1:9" x14ac:dyDescent="0.25">
      <c r="A39" s="478"/>
      <c r="B39" s="2" t="s">
        <v>516</v>
      </c>
      <c r="C39" s="130">
        <v>0.2</v>
      </c>
      <c r="D39" s="8">
        <f>C39/C49</f>
        <v>4.4903457566232603E-3</v>
      </c>
      <c r="E39" s="288"/>
    </row>
    <row r="40" spans="1:9" x14ac:dyDescent="0.25">
      <c r="A40" s="391" t="s">
        <v>238</v>
      </c>
      <c r="B40" s="2" t="s">
        <v>237</v>
      </c>
      <c r="C40" s="130">
        <v>7.96</v>
      </c>
      <c r="D40" s="8">
        <f>C40/C49</f>
        <v>0.17871576111360574</v>
      </c>
    </row>
    <row r="41" spans="1:9" ht="28.5" customHeight="1" x14ac:dyDescent="0.25">
      <c r="A41" s="392" t="s">
        <v>645</v>
      </c>
      <c r="B41" s="111" t="s">
        <v>518</v>
      </c>
      <c r="C41" s="130">
        <v>4.0999999999999996</v>
      </c>
      <c r="D41" s="289">
        <f>C41/C49</f>
        <v>9.2052088010776828E-2</v>
      </c>
    </row>
    <row r="42" spans="1:9" ht="30" x14ac:dyDescent="0.25">
      <c r="A42" s="393" t="s">
        <v>454</v>
      </c>
      <c r="B42" s="2" t="s">
        <v>239</v>
      </c>
      <c r="C42" s="130">
        <v>0.97</v>
      </c>
      <c r="D42" s="8">
        <f>C42/C49</f>
        <v>2.1778176919622812E-2</v>
      </c>
    </row>
    <row r="43" spans="1:9" ht="30" x14ac:dyDescent="0.25">
      <c r="A43" s="393" t="s">
        <v>453</v>
      </c>
      <c r="B43" s="2" t="s">
        <v>239</v>
      </c>
      <c r="C43" s="130">
        <v>0.55000000000000004</v>
      </c>
      <c r="D43" s="8">
        <f>C43/C49</f>
        <v>1.2348450830713967E-2</v>
      </c>
    </row>
    <row r="44" spans="1:9" x14ac:dyDescent="0.25">
      <c r="A44" s="477" t="s">
        <v>233</v>
      </c>
      <c r="B44" s="2" t="s">
        <v>520</v>
      </c>
      <c r="C44" s="130">
        <v>4.7</v>
      </c>
      <c r="D44" s="8">
        <f>C44/C49</f>
        <v>0.10552312528064661</v>
      </c>
    </row>
    <row r="45" spans="1:9" x14ac:dyDescent="0.25">
      <c r="A45" s="479"/>
      <c r="B45" s="2" t="s">
        <v>522</v>
      </c>
      <c r="C45" s="130">
        <v>0.64</v>
      </c>
      <c r="D45" s="8">
        <f>C45/C49</f>
        <v>1.4369106421194433E-2</v>
      </c>
    </row>
    <row r="46" spans="1:9" x14ac:dyDescent="0.25">
      <c r="A46" s="479"/>
      <c r="B46" s="111" t="s">
        <v>523</v>
      </c>
      <c r="C46" s="130">
        <v>1.33</v>
      </c>
      <c r="D46" s="8">
        <f>C46/C49</f>
        <v>2.986079928154468E-2</v>
      </c>
    </row>
    <row r="47" spans="1:9" x14ac:dyDescent="0.25">
      <c r="A47" s="477" t="s">
        <v>517</v>
      </c>
      <c r="B47" s="2" t="s">
        <v>239</v>
      </c>
      <c r="C47" s="130">
        <v>2.25</v>
      </c>
      <c r="D47" s="8">
        <f>C47/C49</f>
        <v>5.0516389762011678E-2</v>
      </c>
    </row>
    <row r="48" spans="1:9" ht="15.75" thickBot="1" x14ac:dyDescent="0.3">
      <c r="A48" s="480"/>
      <c r="B48" s="48" t="s">
        <v>239</v>
      </c>
      <c r="C48" s="388">
        <v>0.43</v>
      </c>
      <c r="D48" s="20">
        <f>C48/C49</f>
        <v>9.6542433767400088E-3</v>
      </c>
      <c r="I48" s="127"/>
    </row>
    <row r="49" spans="1:6" x14ac:dyDescent="0.25">
      <c r="A49" s="475" t="s">
        <v>19</v>
      </c>
      <c r="B49" s="476"/>
      <c r="C49" s="389">
        <f>SUM(C35:C48)</f>
        <v>44.54</v>
      </c>
      <c r="D49" s="128">
        <f>SUM(D35:D48)</f>
        <v>1</v>
      </c>
      <c r="F49" s="16"/>
    </row>
    <row r="50" spans="1:6" x14ac:dyDescent="0.25">
      <c r="B50" s="171"/>
      <c r="C50" s="390"/>
    </row>
    <row r="59" spans="1:6" x14ac:dyDescent="0.25">
      <c r="A59" s="307" t="s">
        <v>500</v>
      </c>
    </row>
    <row r="61" spans="1:6" ht="75" x14ac:dyDescent="0.25">
      <c r="A61" s="138" t="s">
        <v>37</v>
      </c>
      <c r="B61" s="139" t="s">
        <v>286</v>
      </c>
      <c r="C61" s="139" t="s">
        <v>287</v>
      </c>
      <c r="D61" s="139" t="s">
        <v>288</v>
      </c>
      <c r="E61" s="139" t="s">
        <v>289</v>
      </c>
    </row>
    <row r="62" spans="1:6" x14ac:dyDescent="0.25">
      <c r="A62" s="150" t="s">
        <v>22</v>
      </c>
      <c r="B62" s="151">
        <v>0.39400000000000002</v>
      </c>
      <c r="C62" s="151">
        <v>0.60599999999999998</v>
      </c>
      <c r="D62" s="151">
        <v>0.76100000000000001</v>
      </c>
      <c r="E62" s="151">
        <v>0.23899999999999999</v>
      </c>
    </row>
    <row r="63" spans="1:6" x14ac:dyDescent="0.25">
      <c r="A63" s="2" t="s">
        <v>23</v>
      </c>
      <c r="B63" s="8">
        <v>0.81599999999999995</v>
      </c>
      <c r="C63" s="8">
        <v>0.184</v>
      </c>
      <c r="D63" s="8">
        <v>0.873</v>
      </c>
      <c r="E63" s="8">
        <v>0.127</v>
      </c>
    </row>
    <row r="64" spans="1:6" x14ac:dyDescent="0.25">
      <c r="A64" s="2" t="s">
        <v>24</v>
      </c>
      <c r="B64" s="8">
        <v>0.52600000000000002</v>
      </c>
      <c r="C64" s="8">
        <v>0.47399999999999998</v>
      </c>
      <c r="D64" s="8">
        <v>0.81799999999999995</v>
      </c>
      <c r="E64" s="8">
        <v>0.182</v>
      </c>
    </row>
    <row r="65" spans="1:5" x14ac:dyDescent="0.25">
      <c r="A65" s="2" t="s">
        <v>25</v>
      </c>
      <c r="B65" s="8">
        <v>0.629</v>
      </c>
      <c r="C65" s="8">
        <v>0.371</v>
      </c>
      <c r="D65" s="8">
        <v>0.90800000000000003</v>
      </c>
      <c r="E65" s="8">
        <v>9.1999999999999998E-2</v>
      </c>
    </row>
    <row r="66" spans="1:5" x14ac:dyDescent="0.25">
      <c r="A66" s="2" t="s">
        <v>26</v>
      </c>
      <c r="B66" s="8">
        <v>0.78</v>
      </c>
      <c r="C66" s="8">
        <v>0.22</v>
      </c>
      <c r="D66" s="8">
        <v>0.79600000000000004</v>
      </c>
      <c r="E66" s="8">
        <v>0.20399999999999999</v>
      </c>
    </row>
    <row r="67" spans="1:5" x14ac:dyDescent="0.25">
      <c r="A67" s="2" t="s">
        <v>27</v>
      </c>
      <c r="B67" s="8">
        <v>0.57899999999999996</v>
      </c>
      <c r="C67" s="8">
        <v>0.42099999999999999</v>
      </c>
      <c r="D67" s="8">
        <v>0.84599999999999997</v>
      </c>
      <c r="E67" s="8">
        <v>0.154</v>
      </c>
    </row>
    <row r="68" spans="1:5" x14ac:dyDescent="0.25">
      <c r="A68" s="111" t="s">
        <v>429</v>
      </c>
      <c r="B68" s="267">
        <v>0.78799999999999992</v>
      </c>
      <c r="C68" s="267">
        <v>0.21199999999999999</v>
      </c>
      <c r="D68" s="267">
        <v>0.79500000000000004</v>
      </c>
      <c r="E68" s="267">
        <v>0.20600000000000002</v>
      </c>
    </row>
    <row r="69" spans="1:5" x14ac:dyDescent="0.25">
      <c r="A69" s="115" t="s">
        <v>470</v>
      </c>
      <c r="B69" s="8">
        <v>0.83899999999999997</v>
      </c>
      <c r="C69" s="8">
        <v>0.161</v>
      </c>
      <c r="D69" s="8">
        <v>0.92600000000000005</v>
      </c>
      <c r="E69" s="8">
        <v>7.3999999999999996E-2</v>
      </c>
    </row>
    <row r="88" spans="1:5" x14ac:dyDescent="0.25">
      <c r="A88" s="308" t="s">
        <v>501</v>
      </c>
    </row>
    <row r="90" spans="1:5" ht="75" x14ac:dyDescent="0.25">
      <c r="A90" s="204"/>
      <c r="B90" s="205" t="s">
        <v>40</v>
      </c>
      <c r="C90" s="205" t="s">
        <v>337</v>
      </c>
      <c r="D90" s="205" t="s">
        <v>346</v>
      </c>
      <c r="E90" s="205" t="s">
        <v>347</v>
      </c>
    </row>
    <row r="91" spans="1:5" x14ac:dyDescent="0.25">
      <c r="A91" s="2" t="s">
        <v>231</v>
      </c>
      <c r="B91" s="60">
        <v>250</v>
      </c>
      <c r="C91" s="62">
        <v>0.92600000000000005</v>
      </c>
      <c r="D91" s="60">
        <v>232.3</v>
      </c>
      <c r="E91" s="62">
        <v>0.83899999999999997</v>
      </c>
    </row>
    <row r="92" spans="1:5" ht="60" x14ac:dyDescent="0.25">
      <c r="A92" s="10" t="s">
        <v>274</v>
      </c>
      <c r="B92" s="60">
        <v>17</v>
      </c>
      <c r="C92" s="62">
        <v>6.3E-2</v>
      </c>
      <c r="D92" s="60">
        <v>38.200000000000003</v>
      </c>
      <c r="E92" s="62">
        <v>0.13800000000000001</v>
      </c>
    </row>
    <row r="93" spans="1:5" ht="30" x14ac:dyDescent="0.25">
      <c r="A93" s="213" t="s">
        <v>275</v>
      </c>
      <c r="B93" s="60">
        <v>3</v>
      </c>
      <c r="C93" s="62">
        <v>1.0999999999999999E-2</v>
      </c>
      <c r="D93" s="60">
        <v>6.3</v>
      </c>
      <c r="E93" s="62">
        <v>2.3E-2</v>
      </c>
    </row>
    <row r="94" spans="1:5" x14ac:dyDescent="0.25">
      <c r="A94" s="16"/>
      <c r="B94" s="16"/>
    </row>
    <row r="95" spans="1:5" x14ac:dyDescent="0.25">
      <c r="A95" s="16"/>
      <c r="B95" s="16"/>
    </row>
    <row r="96" spans="1:5" x14ac:dyDescent="0.25">
      <c r="A96" s="16"/>
      <c r="B96" s="16"/>
    </row>
    <row r="97" spans="1:2" x14ac:dyDescent="0.25">
      <c r="A97" s="16"/>
      <c r="B97" s="16"/>
    </row>
    <row r="98" spans="1:2" x14ac:dyDescent="0.25">
      <c r="A98" s="16"/>
      <c r="B98" s="16"/>
    </row>
    <row r="99" spans="1:2" x14ac:dyDescent="0.25">
      <c r="A99" s="16"/>
      <c r="B99" s="16"/>
    </row>
    <row r="100" spans="1:2" x14ac:dyDescent="0.25">
      <c r="A100" s="16"/>
      <c r="B100" s="16"/>
    </row>
    <row r="101" spans="1:2" x14ac:dyDescent="0.25">
      <c r="A101" s="16"/>
      <c r="B101" s="16"/>
    </row>
    <row r="102" spans="1:2" x14ac:dyDescent="0.25">
      <c r="A102" s="16"/>
      <c r="B102" s="16"/>
    </row>
    <row r="103" spans="1:2" x14ac:dyDescent="0.25">
      <c r="A103" s="16"/>
      <c r="B103" s="16"/>
    </row>
    <row r="104" spans="1:2" x14ac:dyDescent="0.25">
      <c r="A104" s="16"/>
      <c r="B104" s="16"/>
    </row>
    <row r="105" spans="1:2" x14ac:dyDescent="0.25">
      <c r="A105" s="16"/>
      <c r="B105" s="16"/>
    </row>
  </sheetData>
  <mergeCells count="5">
    <mergeCell ref="A49:B49"/>
    <mergeCell ref="A36:A37"/>
    <mergeCell ref="A38:A39"/>
    <mergeCell ref="A44:A46"/>
    <mergeCell ref="A47:A48"/>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8"/>
  <sheetViews>
    <sheetView workbookViewId="0">
      <selection activeCell="N39" sqref="N39"/>
    </sheetView>
  </sheetViews>
  <sheetFormatPr defaultRowHeight="15" x14ac:dyDescent="0.25"/>
  <cols>
    <col min="1" max="1" width="18.28515625" customWidth="1"/>
    <col min="2" max="2" width="12.140625" bestFit="1" customWidth="1"/>
    <col min="3" max="3" width="11.5703125" bestFit="1" customWidth="1"/>
    <col min="4" max="4" width="11.85546875" bestFit="1" customWidth="1"/>
    <col min="6" max="6" width="11.5703125" bestFit="1" customWidth="1"/>
    <col min="8" max="8" width="11.5703125" bestFit="1" customWidth="1"/>
    <col min="12" max="12" width="9.7109375" bestFit="1" customWidth="1"/>
  </cols>
  <sheetData>
    <row r="1" spans="1:11" x14ac:dyDescent="0.25">
      <c r="A1" s="307" t="s">
        <v>502</v>
      </c>
    </row>
    <row r="2" spans="1:11" ht="12" customHeight="1" x14ac:dyDescent="0.25"/>
    <row r="3" spans="1:11" ht="69" customHeight="1" x14ac:dyDescent="0.25">
      <c r="A3" s="176" t="s">
        <v>208</v>
      </c>
      <c r="B3" s="176" t="s">
        <v>291</v>
      </c>
      <c r="C3" s="176" t="s">
        <v>151</v>
      </c>
      <c r="D3" s="176" t="s">
        <v>10</v>
      </c>
      <c r="E3" s="176" t="s">
        <v>305</v>
      </c>
    </row>
    <row r="4" spans="1:11" x14ac:dyDescent="0.25">
      <c r="A4" s="2" t="s">
        <v>177</v>
      </c>
      <c r="B4" s="142">
        <v>6104</v>
      </c>
      <c r="C4" s="142">
        <v>206095917</v>
      </c>
      <c r="D4" s="62">
        <f>C4/C7</f>
        <v>0.31882287686430905</v>
      </c>
      <c r="E4" s="142">
        <f>C4/B4</f>
        <v>33764.075524246393</v>
      </c>
    </row>
    <row r="5" spans="1:11" x14ac:dyDescent="0.25">
      <c r="A5" s="2" t="s">
        <v>304</v>
      </c>
      <c r="B5" s="142">
        <v>71947</v>
      </c>
      <c r="C5" s="142">
        <v>159716355</v>
      </c>
      <c r="D5" s="62">
        <f>C5/C7</f>
        <v>0.24707538375629862</v>
      </c>
      <c r="E5" s="142">
        <f>C5/B5</f>
        <v>2219.9168137656889</v>
      </c>
    </row>
    <row r="6" spans="1:11" x14ac:dyDescent="0.25">
      <c r="A6" s="2" t="s">
        <v>179</v>
      </c>
      <c r="B6" s="142">
        <v>65419</v>
      </c>
      <c r="C6" s="142">
        <v>280615359</v>
      </c>
      <c r="D6" s="62">
        <f>C6/C7</f>
        <v>0.43410173937939234</v>
      </c>
      <c r="E6" s="142">
        <f>C6/B6</f>
        <v>4289.5085372751037</v>
      </c>
    </row>
    <row r="7" spans="1:11" x14ac:dyDescent="0.25">
      <c r="A7" s="177" t="s">
        <v>19</v>
      </c>
      <c r="B7" s="178">
        <f>SUM(B4:B6)</f>
        <v>143470</v>
      </c>
      <c r="C7" s="178">
        <f>SUM(C4:C6)</f>
        <v>646427631</v>
      </c>
      <c r="D7" s="179">
        <f>SUM(D4:D6)</f>
        <v>1</v>
      </c>
      <c r="E7" s="178">
        <f>C7/B7</f>
        <v>4505.6641179340631</v>
      </c>
    </row>
    <row r="8" spans="1:11" ht="10.5" customHeight="1" x14ac:dyDescent="0.25"/>
    <row r="9" spans="1:11" ht="10.5" customHeight="1" x14ac:dyDescent="0.25"/>
    <row r="10" spans="1:11" ht="10.5" customHeight="1" x14ac:dyDescent="0.25"/>
    <row r="11" spans="1:11" ht="10.5" customHeight="1" x14ac:dyDescent="0.25"/>
    <row r="12" spans="1:11" ht="29.25" customHeight="1" x14ac:dyDescent="0.25">
      <c r="A12" s="457" t="s">
        <v>503</v>
      </c>
      <c r="B12" s="457"/>
      <c r="C12" s="457"/>
      <c r="D12" s="457"/>
      <c r="E12" s="457"/>
      <c r="F12" s="457"/>
      <c r="G12" s="457"/>
      <c r="H12" s="457"/>
      <c r="I12" s="457"/>
      <c r="J12" s="457"/>
      <c r="K12" s="457"/>
    </row>
    <row r="13" spans="1:11" ht="12.75" customHeight="1" x14ac:dyDescent="0.25"/>
    <row r="14" spans="1:11" ht="42.75" customHeight="1" x14ac:dyDescent="0.25">
      <c r="A14" s="180" t="s">
        <v>28</v>
      </c>
      <c r="B14" s="176" t="s">
        <v>306</v>
      </c>
      <c r="C14" s="176" t="s">
        <v>10</v>
      </c>
      <c r="D14" s="176" t="s">
        <v>307</v>
      </c>
      <c r="E14" s="176" t="s">
        <v>10</v>
      </c>
      <c r="F14" s="176" t="s">
        <v>308</v>
      </c>
      <c r="G14" s="176" t="s">
        <v>10</v>
      </c>
    </row>
    <row r="15" spans="1:11" x14ac:dyDescent="0.25">
      <c r="A15" s="2" t="s">
        <v>12</v>
      </c>
      <c r="B15" s="142">
        <v>37374352</v>
      </c>
      <c r="C15" s="62">
        <f>B15/B23</f>
        <v>0.18134445623199805</v>
      </c>
      <c r="D15" s="142">
        <v>47044857</v>
      </c>
      <c r="E15" s="62">
        <f>D15/D23</f>
        <v>0.29455253345845517</v>
      </c>
      <c r="F15" s="142">
        <v>107023860</v>
      </c>
      <c r="G15" s="62">
        <f>F15/F23</f>
        <v>0.38138988678805708</v>
      </c>
    </row>
    <row r="16" spans="1:11" x14ac:dyDescent="0.25">
      <c r="A16" s="2" t="s">
        <v>13</v>
      </c>
      <c r="B16" s="142">
        <v>80254788</v>
      </c>
      <c r="C16" s="62">
        <f>B16/B23</f>
        <v>0.38940503610268029</v>
      </c>
      <c r="D16" s="142">
        <v>24188533</v>
      </c>
      <c r="E16" s="62">
        <f>D16/D23</f>
        <v>0.15144681332102777</v>
      </c>
      <c r="F16" s="142">
        <v>49771569</v>
      </c>
      <c r="G16" s="62">
        <f>F16/F23</f>
        <v>0.17736580484177988</v>
      </c>
    </row>
    <row r="17" spans="1:11" x14ac:dyDescent="0.25">
      <c r="A17" s="2" t="s">
        <v>14</v>
      </c>
      <c r="B17" s="142">
        <v>50195552</v>
      </c>
      <c r="C17" s="62">
        <f>B17/B23</f>
        <v>0.24355432524167861</v>
      </c>
      <c r="D17" s="142">
        <v>22144210</v>
      </c>
      <c r="E17" s="62">
        <f>D17/D23</f>
        <v>0.13864710348542578</v>
      </c>
      <c r="F17" s="142">
        <v>23480649</v>
      </c>
      <c r="G17" s="62">
        <f>F17/F23</f>
        <v>8.3675566026305784E-2</v>
      </c>
    </row>
    <row r="18" spans="1:11" ht="30" x14ac:dyDescent="0.25">
      <c r="A18" s="10" t="s">
        <v>677</v>
      </c>
      <c r="B18" s="142">
        <v>1935108</v>
      </c>
      <c r="C18" s="62">
        <f>B18/B23</f>
        <v>9.3893563160690856E-3</v>
      </c>
      <c r="D18" s="142">
        <v>20028268</v>
      </c>
      <c r="E18" s="62">
        <f>D18/D23</f>
        <v>0.125398979960443</v>
      </c>
      <c r="F18" s="142">
        <v>59668644</v>
      </c>
      <c r="G18" s="62">
        <f>F18/F23</f>
        <v>0.21263498980467424</v>
      </c>
    </row>
    <row r="19" spans="1:11" ht="30" x14ac:dyDescent="0.25">
      <c r="A19" s="10" t="s">
        <v>15</v>
      </c>
      <c r="B19" s="142">
        <v>19938721</v>
      </c>
      <c r="C19" s="62">
        <f>B19/B23</f>
        <v>9.6744861762593767E-2</v>
      </c>
      <c r="D19" s="142">
        <v>34634305</v>
      </c>
      <c r="E19" s="62">
        <f>D19/D23</f>
        <v>0.2168488317930872</v>
      </c>
      <c r="F19" s="142">
        <v>21292379</v>
      </c>
      <c r="G19" s="62">
        <f>F19/F23</f>
        <v>7.5877454020611898E-2</v>
      </c>
    </row>
    <row r="20" spans="1:11" x14ac:dyDescent="0.25">
      <c r="A20" s="2" t="s">
        <v>16</v>
      </c>
      <c r="B20" s="142">
        <v>166176</v>
      </c>
      <c r="C20" s="62">
        <f>B20/B23</f>
        <v>8.06304183114894E-4</v>
      </c>
      <c r="D20" s="142">
        <v>3011378</v>
      </c>
      <c r="E20" s="62">
        <f>D20/D23</f>
        <v>1.8854537470505132E-2</v>
      </c>
      <c r="F20" s="142">
        <v>4984661</v>
      </c>
      <c r="G20" s="62">
        <f>F20/F23</f>
        <v>1.7763322071048863E-2</v>
      </c>
    </row>
    <row r="21" spans="1:11" x14ac:dyDescent="0.25">
      <c r="A21" s="2" t="s">
        <v>17</v>
      </c>
      <c r="B21" s="142">
        <v>15512764</v>
      </c>
      <c r="C21" s="62">
        <f>B21/B23</f>
        <v>7.52696328282913E-2</v>
      </c>
      <c r="D21" s="142">
        <v>3274274</v>
      </c>
      <c r="E21" s="62">
        <f>D21/D23</f>
        <v>2.0500555500405703E-2</v>
      </c>
      <c r="F21" s="142">
        <v>11077011</v>
      </c>
      <c r="G21" s="62">
        <f>F21/F23</f>
        <v>3.9474001136195827E-2</v>
      </c>
    </row>
    <row r="22" spans="1:11" x14ac:dyDescent="0.25">
      <c r="A22" s="2" t="s">
        <v>18</v>
      </c>
      <c r="B22" s="142">
        <v>718456</v>
      </c>
      <c r="C22" s="62">
        <f>B22/B23</f>
        <v>3.4860273335740079E-3</v>
      </c>
      <c r="D22" s="142">
        <v>5390530</v>
      </c>
      <c r="E22" s="62">
        <f>D22/D23</f>
        <v>3.3750645010650289E-2</v>
      </c>
      <c r="F22" s="142">
        <v>3316586</v>
      </c>
      <c r="G22" s="62">
        <f>F22/F23</f>
        <v>1.181897531132642E-2</v>
      </c>
    </row>
    <row r="23" spans="1:11" x14ac:dyDescent="0.25">
      <c r="A23" s="177" t="s">
        <v>281</v>
      </c>
      <c r="B23" s="178">
        <f t="shared" ref="B23:G23" si="0">SUM(B15:B22)</f>
        <v>206095917</v>
      </c>
      <c r="C23" s="179">
        <f t="shared" si="0"/>
        <v>1</v>
      </c>
      <c r="D23" s="178">
        <f t="shared" si="0"/>
        <v>159716355</v>
      </c>
      <c r="E23" s="179">
        <f t="shared" si="0"/>
        <v>1.0000000000000002</v>
      </c>
      <c r="F23" s="178">
        <f t="shared" si="0"/>
        <v>280615359</v>
      </c>
      <c r="G23" s="179">
        <f t="shared" si="0"/>
        <v>1</v>
      </c>
    </row>
    <row r="27" spans="1:11" ht="30" customHeight="1" x14ac:dyDescent="0.25">
      <c r="A27" s="457" t="s">
        <v>504</v>
      </c>
      <c r="B27" s="457"/>
      <c r="C27" s="457"/>
      <c r="D27" s="457"/>
      <c r="E27" s="457"/>
      <c r="F27" s="457"/>
      <c r="G27" s="457"/>
      <c r="H27" s="457"/>
      <c r="I27" s="457"/>
      <c r="J27" s="457"/>
      <c r="K27" s="457"/>
    </row>
    <row r="28" spans="1:11" ht="9.75" customHeight="1" x14ac:dyDescent="0.25"/>
    <row r="29" spans="1:11" ht="41.25" customHeight="1" x14ac:dyDescent="0.25">
      <c r="A29" s="180" t="s">
        <v>28</v>
      </c>
      <c r="B29" s="176" t="s">
        <v>306</v>
      </c>
      <c r="C29" s="176" t="s">
        <v>10</v>
      </c>
      <c r="D29" s="176" t="s">
        <v>307</v>
      </c>
      <c r="E29" s="176" t="s">
        <v>10</v>
      </c>
      <c r="F29" s="176" t="s">
        <v>308</v>
      </c>
      <c r="G29" s="176" t="s">
        <v>10</v>
      </c>
      <c r="H29" s="176" t="s">
        <v>309</v>
      </c>
    </row>
    <row r="30" spans="1:11" x14ac:dyDescent="0.25">
      <c r="A30" s="2" t="s">
        <v>12</v>
      </c>
      <c r="B30" s="142">
        <v>37374352</v>
      </c>
      <c r="C30" s="62">
        <f t="shared" ref="C30:C38" si="1">B30/H30</f>
        <v>0.19522436719816688</v>
      </c>
      <c r="D30" s="142">
        <v>47044857</v>
      </c>
      <c r="E30" s="62">
        <f t="shared" ref="E30:E38" si="2">D30/H30</f>
        <v>0.24573810504469085</v>
      </c>
      <c r="F30" s="142">
        <v>107023860</v>
      </c>
      <c r="G30" s="62">
        <f t="shared" ref="G30:G38" si="3">F30/H30</f>
        <v>0.55903752775714222</v>
      </c>
      <c r="H30" s="142">
        <f t="shared" ref="H30:H38" si="4">B30+D30+F30</f>
        <v>191443069</v>
      </c>
    </row>
    <row r="31" spans="1:11" x14ac:dyDescent="0.25">
      <c r="A31" s="2" t="s">
        <v>13</v>
      </c>
      <c r="B31" s="142">
        <v>80254788</v>
      </c>
      <c r="C31" s="62">
        <f t="shared" si="1"/>
        <v>0.52040881396083094</v>
      </c>
      <c r="D31" s="142">
        <v>24188533</v>
      </c>
      <c r="E31" s="62">
        <f t="shared" si="2"/>
        <v>0.15684952989947987</v>
      </c>
      <c r="F31" s="142">
        <v>49771569</v>
      </c>
      <c r="G31" s="62">
        <f t="shared" si="3"/>
        <v>0.32274165613968925</v>
      </c>
      <c r="H31" s="142">
        <f t="shared" si="4"/>
        <v>154214890</v>
      </c>
    </row>
    <row r="32" spans="1:11" x14ac:dyDescent="0.25">
      <c r="A32" s="2" t="s">
        <v>14</v>
      </c>
      <c r="B32" s="142">
        <v>50195552</v>
      </c>
      <c r="C32" s="62">
        <f t="shared" si="1"/>
        <v>0.52385030993031323</v>
      </c>
      <c r="D32" s="142">
        <v>22144210</v>
      </c>
      <c r="E32" s="62">
        <f t="shared" si="2"/>
        <v>0.23110117947626002</v>
      </c>
      <c r="F32" s="142">
        <v>23480649</v>
      </c>
      <c r="G32" s="62">
        <f t="shared" si="3"/>
        <v>0.24504851059342669</v>
      </c>
      <c r="H32" s="142">
        <f t="shared" si="4"/>
        <v>95820411</v>
      </c>
    </row>
    <row r="33" spans="1:8" ht="30" x14ac:dyDescent="0.25">
      <c r="A33" s="10" t="s">
        <v>677</v>
      </c>
      <c r="B33" s="142">
        <v>1935108</v>
      </c>
      <c r="C33" s="62">
        <f t="shared" si="1"/>
        <v>2.370525683426675E-2</v>
      </c>
      <c r="D33" s="142">
        <v>20028268</v>
      </c>
      <c r="E33" s="62">
        <f t="shared" si="2"/>
        <v>0.24534818567517991</v>
      </c>
      <c r="F33" s="142">
        <v>59668644</v>
      </c>
      <c r="G33" s="62">
        <f t="shared" si="3"/>
        <v>0.73094655749055337</v>
      </c>
      <c r="H33" s="142">
        <f t="shared" si="4"/>
        <v>81632020</v>
      </c>
    </row>
    <row r="34" spans="1:8" ht="30" x14ac:dyDescent="0.25">
      <c r="A34" s="10" t="s">
        <v>15</v>
      </c>
      <c r="B34" s="142">
        <v>19938721</v>
      </c>
      <c r="C34" s="62">
        <f t="shared" si="1"/>
        <v>0.26281703762077063</v>
      </c>
      <c r="D34" s="142">
        <v>34634305</v>
      </c>
      <c r="E34" s="62">
        <f t="shared" si="2"/>
        <v>0.45652303576313868</v>
      </c>
      <c r="F34" s="142">
        <v>21292379</v>
      </c>
      <c r="G34" s="62">
        <f t="shared" si="3"/>
        <v>0.28065992661609068</v>
      </c>
      <c r="H34" s="142">
        <f t="shared" si="4"/>
        <v>75865405</v>
      </c>
    </row>
    <row r="35" spans="1:8" x14ac:dyDescent="0.25">
      <c r="A35" s="2" t="s">
        <v>16</v>
      </c>
      <c r="B35" s="142">
        <v>166176</v>
      </c>
      <c r="C35" s="62">
        <f t="shared" si="1"/>
        <v>2.0359179462927649E-2</v>
      </c>
      <c r="D35" s="142">
        <v>3011378</v>
      </c>
      <c r="E35" s="62">
        <f t="shared" si="2"/>
        <v>0.36894127390665399</v>
      </c>
      <c r="F35" s="142">
        <v>4984661</v>
      </c>
      <c r="G35" s="62">
        <f t="shared" si="3"/>
        <v>0.61069954663041837</v>
      </c>
      <c r="H35" s="142">
        <f t="shared" si="4"/>
        <v>8162215</v>
      </c>
    </row>
    <row r="36" spans="1:8" x14ac:dyDescent="0.25">
      <c r="A36" s="2" t="s">
        <v>17</v>
      </c>
      <c r="B36" s="142">
        <v>15512764</v>
      </c>
      <c r="C36" s="62">
        <f t="shared" si="1"/>
        <v>0.51944610725759255</v>
      </c>
      <c r="D36" s="142">
        <v>3274274</v>
      </c>
      <c r="E36" s="62">
        <f t="shared" si="2"/>
        <v>0.1096393191693464</v>
      </c>
      <c r="F36" s="142">
        <v>11077011</v>
      </c>
      <c r="G36" s="62">
        <f t="shared" si="3"/>
        <v>0.37091457357306107</v>
      </c>
      <c r="H36" s="142">
        <f t="shared" si="4"/>
        <v>29864049</v>
      </c>
    </row>
    <row r="37" spans="1:8" x14ac:dyDescent="0.25">
      <c r="A37" s="2" t="s">
        <v>18</v>
      </c>
      <c r="B37" s="142">
        <v>718456</v>
      </c>
      <c r="C37" s="62">
        <f t="shared" si="1"/>
        <v>7.6224127299648239E-2</v>
      </c>
      <c r="D37" s="142">
        <v>5390530</v>
      </c>
      <c r="E37" s="62">
        <f t="shared" si="2"/>
        <v>0.57190481384047565</v>
      </c>
      <c r="F37" s="142">
        <v>3316586</v>
      </c>
      <c r="G37" s="62">
        <f t="shared" si="3"/>
        <v>0.35187105885987607</v>
      </c>
      <c r="H37" s="142">
        <f t="shared" si="4"/>
        <v>9425572</v>
      </c>
    </row>
    <row r="38" spans="1:8" x14ac:dyDescent="0.25">
      <c r="A38" s="177" t="s">
        <v>281</v>
      </c>
      <c r="B38" s="178">
        <f>SUM(B30:B37)</f>
        <v>206095917</v>
      </c>
      <c r="C38" s="179">
        <f t="shared" si="1"/>
        <v>0.31882287686430905</v>
      </c>
      <c r="D38" s="178">
        <f>SUM(D30:D37)</f>
        <v>159716355</v>
      </c>
      <c r="E38" s="179">
        <f t="shared" si="2"/>
        <v>0.24707538375629862</v>
      </c>
      <c r="F38" s="178">
        <f>SUM(F30:F37)</f>
        <v>280615359</v>
      </c>
      <c r="G38" s="179">
        <f t="shared" si="3"/>
        <v>0.43410173937939234</v>
      </c>
      <c r="H38" s="178">
        <f t="shared" si="4"/>
        <v>646427631</v>
      </c>
    </row>
  </sheetData>
  <mergeCells count="2">
    <mergeCell ref="A27:K27"/>
    <mergeCell ref="A12:K12"/>
  </mergeCells>
  <conditionalFormatting sqref="B15:B22">
    <cfRule type="top10" dxfId="21" priority="7" percent="1" rank="10"/>
  </conditionalFormatting>
  <conditionalFormatting sqref="D15:D22">
    <cfRule type="top10" dxfId="20" priority="6" percent="1" rank="10"/>
  </conditionalFormatting>
  <conditionalFormatting sqref="F15:F22">
    <cfRule type="top10" dxfId="19" priority="5" percent="1" rank="10"/>
  </conditionalFormatting>
  <conditionalFormatting sqref="G30:G37">
    <cfRule type="top10" dxfId="18" priority="3" percent="1" rank="10"/>
  </conditionalFormatting>
  <conditionalFormatting sqref="E30:E37">
    <cfRule type="top10" dxfId="17" priority="2" percent="1" rank="10"/>
  </conditionalFormatting>
  <conditionalFormatting sqref="C30:C37">
    <cfRule type="top10" dxfId="16" priority="1" percent="1" rank="10"/>
  </conditionalFormatting>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16"/>
  <sheetViews>
    <sheetView workbookViewId="0">
      <selection activeCell="T108" sqref="T108"/>
    </sheetView>
  </sheetViews>
  <sheetFormatPr defaultRowHeight="15" x14ac:dyDescent="0.25"/>
  <cols>
    <col min="1" max="1" width="15.7109375" customWidth="1"/>
    <col min="2" max="2" width="21.140625" bestFit="1" customWidth="1"/>
    <col min="3" max="3" width="8" customWidth="1"/>
    <col min="4" max="4" width="7.28515625" customWidth="1"/>
    <col min="5" max="5" width="6.7109375" bestFit="1" customWidth="1"/>
    <col min="6" max="6" width="7" customWidth="1"/>
    <col min="7" max="7" width="8" customWidth="1"/>
  </cols>
  <sheetData>
    <row r="1" spans="1:3" x14ac:dyDescent="0.25">
      <c r="A1" s="307" t="s">
        <v>505</v>
      </c>
    </row>
    <row r="3" spans="1:3" ht="30" x14ac:dyDescent="0.25">
      <c r="A3" s="180" t="s">
        <v>28</v>
      </c>
      <c r="B3" s="176" t="s">
        <v>43</v>
      </c>
      <c r="C3" s="176" t="s">
        <v>10</v>
      </c>
    </row>
    <row r="4" spans="1:3" ht="30" x14ac:dyDescent="0.25">
      <c r="A4" s="10" t="s">
        <v>12</v>
      </c>
      <c r="B4" s="142">
        <v>191443069</v>
      </c>
      <c r="C4" s="8">
        <f>B4/B12</f>
        <v>0.29615545471632232</v>
      </c>
    </row>
    <row r="5" spans="1:3" x14ac:dyDescent="0.25">
      <c r="A5" s="2" t="s">
        <v>13</v>
      </c>
      <c r="B5" s="142">
        <v>154214890</v>
      </c>
      <c r="C5" s="8">
        <f>B5/B12</f>
        <v>0.23856481778391059</v>
      </c>
    </row>
    <row r="6" spans="1:3" x14ac:dyDescent="0.25">
      <c r="A6" s="2" t="s">
        <v>14</v>
      </c>
      <c r="B6" s="142">
        <v>95820411</v>
      </c>
      <c r="C6" s="8">
        <f>B6/B12</f>
        <v>0.14823068570223291</v>
      </c>
    </row>
    <row r="7" spans="1:3" ht="30" x14ac:dyDescent="0.25">
      <c r="A7" s="10" t="s">
        <v>677</v>
      </c>
      <c r="B7" s="142">
        <v>81632020</v>
      </c>
      <c r="C7" s="8">
        <f>B7/B12</f>
        <v>0.1262817616160965</v>
      </c>
    </row>
    <row r="8" spans="1:3" ht="30" x14ac:dyDescent="0.25">
      <c r="A8" s="10" t="s">
        <v>15</v>
      </c>
      <c r="B8" s="142">
        <v>75865405</v>
      </c>
      <c r="C8" s="8">
        <f>B8/B12</f>
        <v>0.11736101825139959</v>
      </c>
    </row>
    <row r="9" spans="1:3" ht="30" x14ac:dyDescent="0.25">
      <c r="A9" s="10" t="s">
        <v>16</v>
      </c>
      <c r="B9" s="142">
        <v>8162215</v>
      </c>
      <c r="C9" s="8">
        <f>B9/B12</f>
        <v>1.2626649308559647E-2</v>
      </c>
    </row>
    <row r="10" spans="1:3" x14ac:dyDescent="0.25">
      <c r="A10" s="2" t="s">
        <v>17</v>
      </c>
      <c r="B10" s="142">
        <v>29864049</v>
      </c>
      <c r="C10" s="8">
        <f>B10/B12</f>
        <v>4.619859604980283E-2</v>
      </c>
    </row>
    <row r="11" spans="1:3" x14ac:dyDescent="0.25">
      <c r="A11" s="2" t="s">
        <v>18</v>
      </c>
      <c r="B11" s="142">
        <v>9425572</v>
      </c>
      <c r="C11" s="8">
        <f>B11/B12</f>
        <v>1.45810165716756E-2</v>
      </c>
    </row>
    <row r="12" spans="1:3" x14ac:dyDescent="0.25">
      <c r="A12" s="181" t="s">
        <v>19</v>
      </c>
      <c r="B12" s="178">
        <f>SUM(B4:B11)</f>
        <v>646427631</v>
      </c>
      <c r="C12" s="179">
        <f>SUM(C4:C11)</f>
        <v>0.99999999999999989</v>
      </c>
    </row>
    <row r="16" spans="1:3" ht="16.5" customHeight="1" x14ac:dyDescent="0.25"/>
    <row r="17" spans="1:9" ht="16.5" customHeight="1" x14ac:dyDescent="0.25"/>
    <row r="19" spans="1:9" x14ac:dyDescent="0.25">
      <c r="A19" s="307" t="s">
        <v>506</v>
      </c>
    </row>
    <row r="21" spans="1:9" ht="30" x14ac:dyDescent="0.25">
      <c r="A21" s="182"/>
      <c r="B21" s="176" t="s">
        <v>22</v>
      </c>
      <c r="C21" s="176" t="s">
        <v>312</v>
      </c>
      <c r="D21" s="176" t="s">
        <v>313</v>
      </c>
      <c r="E21" s="176" t="s">
        <v>314</v>
      </c>
      <c r="F21" s="176" t="s">
        <v>315</v>
      </c>
      <c r="G21" s="176" t="s">
        <v>316</v>
      </c>
      <c r="H21" s="176" t="s">
        <v>456</v>
      </c>
      <c r="I21" s="176" t="s">
        <v>507</v>
      </c>
    </row>
    <row r="22" spans="1:9" x14ac:dyDescent="0.25">
      <c r="A22" s="2" t="s">
        <v>177</v>
      </c>
      <c r="B22" s="8">
        <v>0.39</v>
      </c>
      <c r="C22" s="8">
        <v>0.45900000000000002</v>
      </c>
      <c r="D22" s="8">
        <v>0.45400000000000001</v>
      </c>
      <c r="E22" s="8">
        <v>0.46700000000000003</v>
      </c>
      <c r="F22" s="8">
        <v>0.34599999999999997</v>
      </c>
      <c r="G22" s="8">
        <v>0.29399999999999998</v>
      </c>
      <c r="H22" s="8">
        <v>0.20599999999999999</v>
      </c>
      <c r="I22" s="2">
        <v>31.9</v>
      </c>
    </row>
    <row r="23" spans="1:9" x14ac:dyDescent="0.25">
      <c r="A23" s="2" t="s">
        <v>304</v>
      </c>
      <c r="B23" s="8">
        <v>0.30199999999999999</v>
      </c>
      <c r="C23" s="8">
        <v>0.25</v>
      </c>
      <c r="D23" s="8">
        <v>0.27200000000000002</v>
      </c>
      <c r="E23" s="8">
        <v>0.29799999999999999</v>
      </c>
      <c r="F23" s="8">
        <v>0.20799999999999999</v>
      </c>
      <c r="G23" s="8">
        <v>0.20799999999999999</v>
      </c>
      <c r="H23" s="8">
        <v>0.23200000000000001</v>
      </c>
      <c r="I23" s="2">
        <v>24.7</v>
      </c>
    </row>
    <row r="24" spans="1:9" x14ac:dyDescent="0.25">
      <c r="A24" s="2" t="s">
        <v>179</v>
      </c>
      <c r="B24" s="8">
        <v>0.308</v>
      </c>
      <c r="C24" s="8">
        <v>0.29099999999999998</v>
      </c>
      <c r="D24" s="8">
        <v>0.27400000000000002</v>
      </c>
      <c r="E24" s="8">
        <v>0.23499999999999999</v>
      </c>
      <c r="F24" s="8">
        <v>0.44700000000000001</v>
      </c>
      <c r="G24" s="8">
        <v>0.498</v>
      </c>
      <c r="H24" s="8">
        <v>0.56100000000000005</v>
      </c>
      <c r="I24" s="2">
        <v>43.4</v>
      </c>
    </row>
    <row r="25" spans="1:9" ht="120" x14ac:dyDescent="0.25">
      <c r="A25" s="165" t="s">
        <v>310</v>
      </c>
      <c r="B25" s="166">
        <v>424.7</v>
      </c>
      <c r="C25" s="166">
        <v>464.7</v>
      </c>
      <c r="D25" s="166">
        <v>505.4</v>
      </c>
      <c r="E25" s="166">
        <v>517.70000000000005</v>
      </c>
      <c r="F25" s="166">
        <v>680.3</v>
      </c>
      <c r="G25" s="166">
        <v>802.7</v>
      </c>
      <c r="H25" s="296">
        <v>759.6</v>
      </c>
      <c r="I25" s="328">
        <v>646.4</v>
      </c>
    </row>
    <row r="31" spans="1:9" x14ac:dyDescent="0.25">
      <c r="A31" s="307" t="s">
        <v>311</v>
      </c>
    </row>
    <row r="33" spans="1:13" ht="30" x14ac:dyDescent="0.25">
      <c r="A33" s="183"/>
      <c r="B33" s="184"/>
      <c r="C33" s="185"/>
      <c r="D33" s="186" t="s">
        <v>320</v>
      </c>
      <c r="E33" s="176" t="s">
        <v>312</v>
      </c>
      <c r="F33" s="176" t="s">
        <v>313</v>
      </c>
      <c r="G33" s="176" t="s">
        <v>314</v>
      </c>
      <c r="H33" s="176" t="s">
        <v>315</v>
      </c>
      <c r="I33" s="176" t="s">
        <v>316</v>
      </c>
      <c r="J33" s="294" t="s">
        <v>456</v>
      </c>
      <c r="K33" s="294" t="s">
        <v>507</v>
      </c>
      <c r="L33" s="17"/>
      <c r="M33" s="17"/>
    </row>
    <row r="34" spans="1:13" x14ac:dyDescent="0.25">
      <c r="A34" s="170" t="s">
        <v>317</v>
      </c>
      <c r="B34" s="171"/>
      <c r="C34" s="45"/>
      <c r="D34" s="169">
        <v>165.6</v>
      </c>
      <c r="E34" s="167">
        <v>213.3</v>
      </c>
      <c r="F34" s="167">
        <v>229.7</v>
      </c>
      <c r="G34" s="167">
        <v>241.8</v>
      </c>
      <c r="H34" s="167">
        <v>235.2</v>
      </c>
      <c r="I34" s="167">
        <v>235.9</v>
      </c>
      <c r="J34" s="2">
        <v>156.80000000000001</v>
      </c>
      <c r="K34" s="2">
        <v>206.1</v>
      </c>
    </row>
    <row r="35" spans="1:13" x14ac:dyDescent="0.25">
      <c r="A35" s="68" t="s">
        <v>318</v>
      </c>
      <c r="B35" s="168"/>
      <c r="C35" s="27"/>
      <c r="D35" s="169">
        <v>128.30000000000001</v>
      </c>
      <c r="E35" s="167">
        <v>116</v>
      </c>
      <c r="F35" s="167">
        <v>137.4</v>
      </c>
      <c r="G35" s="167">
        <v>154.1</v>
      </c>
      <c r="H35" s="167">
        <v>141.30000000000001</v>
      </c>
      <c r="I35" s="167">
        <v>167.2</v>
      </c>
      <c r="J35" s="2">
        <v>176.3</v>
      </c>
      <c r="K35" s="2">
        <v>159.69999999999999</v>
      </c>
    </row>
    <row r="36" spans="1:13" x14ac:dyDescent="0.25">
      <c r="A36" s="12" t="s">
        <v>319</v>
      </c>
      <c r="B36" s="12"/>
      <c r="C36" s="12"/>
      <c r="D36" s="167">
        <v>130.80000000000001</v>
      </c>
      <c r="E36" s="167">
        <v>135.4</v>
      </c>
      <c r="F36" s="167">
        <v>138.30000000000001</v>
      </c>
      <c r="G36" s="167">
        <v>121.8</v>
      </c>
      <c r="H36" s="167">
        <v>303.8</v>
      </c>
      <c r="I36" s="167">
        <v>399.5</v>
      </c>
      <c r="J36" s="2">
        <v>426.5</v>
      </c>
      <c r="K36" s="2">
        <v>280.60000000000002</v>
      </c>
    </row>
    <row r="38" spans="1:13" ht="30" x14ac:dyDescent="0.25">
      <c r="B38" s="187"/>
      <c r="C38" s="188"/>
      <c r="D38" s="186" t="s">
        <v>312</v>
      </c>
      <c r="E38" s="176" t="s">
        <v>313</v>
      </c>
      <c r="F38" s="176" t="s">
        <v>314</v>
      </c>
      <c r="G38" s="176" t="s">
        <v>315</v>
      </c>
      <c r="H38" s="189" t="s">
        <v>316</v>
      </c>
      <c r="I38" s="294" t="s">
        <v>456</v>
      </c>
      <c r="J38" s="176" t="s">
        <v>507</v>
      </c>
      <c r="K38" s="137"/>
    </row>
    <row r="39" spans="1:13" x14ac:dyDescent="0.25">
      <c r="B39" s="482" t="s">
        <v>177</v>
      </c>
      <c r="C39" s="482"/>
      <c r="D39" s="8">
        <v>0.28799999999999998</v>
      </c>
      <c r="E39" s="8">
        <v>7.6999999999999999E-2</v>
      </c>
      <c r="F39" s="8">
        <v>5.2999999999999999E-2</v>
      </c>
      <c r="G39" s="8">
        <v>-2.7E-2</v>
      </c>
      <c r="H39" s="8">
        <v>2.8999999999999998E-3</v>
      </c>
      <c r="I39" s="8">
        <f t="shared" ref="I39:J41" si="0">(J34-I34)/I34</f>
        <v>-0.33531157270029671</v>
      </c>
      <c r="J39" s="8">
        <f t="shared" si="0"/>
        <v>0.31441326530612229</v>
      </c>
    </row>
    <row r="40" spans="1:13" x14ac:dyDescent="0.25">
      <c r="B40" s="434" t="s">
        <v>304</v>
      </c>
      <c r="C40" s="434"/>
      <c r="D40" s="8">
        <v>-9.7000000000000003E-2</v>
      </c>
      <c r="E40" s="8">
        <v>0.185</v>
      </c>
      <c r="F40" s="8">
        <v>0.121</v>
      </c>
      <c r="G40" s="8">
        <v>-8.3000000000000004E-2</v>
      </c>
      <c r="H40" s="8">
        <v>0.183</v>
      </c>
      <c r="I40" s="8">
        <f t="shared" si="0"/>
        <v>5.4425837320574301E-2</v>
      </c>
      <c r="J40" s="8">
        <f t="shared" si="0"/>
        <v>-9.4157685762904259E-2</v>
      </c>
    </row>
    <row r="41" spans="1:13" x14ac:dyDescent="0.25">
      <c r="B41" s="434" t="s">
        <v>179</v>
      </c>
      <c r="C41" s="434"/>
      <c r="D41" s="8">
        <v>3.5999999999999997E-2</v>
      </c>
      <c r="E41" s="8">
        <v>2.1000000000000001E-2</v>
      </c>
      <c r="F41" s="8">
        <v>-0.11899999999999999</v>
      </c>
      <c r="G41" s="8">
        <v>1.494</v>
      </c>
      <c r="H41" s="8">
        <v>0.315</v>
      </c>
      <c r="I41" s="8">
        <f t="shared" si="0"/>
        <v>6.7584480600750937E-2</v>
      </c>
      <c r="J41" s="8">
        <f t="shared" si="0"/>
        <v>-0.34208675263774907</v>
      </c>
    </row>
    <row r="58" spans="1:13" x14ac:dyDescent="0.25">
      <c r="A58" s="307" t="s">
        <v>508</v>
      </c>
    </row>
    <row r="60" spans="1:13" ht="30" x14ac:dyDescent="0.25">
      <c r="A60" s="187"/>
      <c r="B60" s="190"/>
      <c r="C60" s="190"/>
      <c r="D60" s="188"/>
      <c r="E60" s="186" t="s">
        <v>320</v>
      </c>
      <c r="F60" s="176" t="s">
        <v>312</v>
      </c>
      <c r="G60" s="176" t="s">
        <v>313</v>
      </c>
      <c r="H60" s="176" t="s">
        <v>314</v>
      </c>
      <c r="I60" s="176" t="s">
        <v>315</v>
      </c>
      <c r="J60" s="176" t="s">
        <v>316</v>
      </c>
      <c r="K60" s="295" t="s">
        <v>456</v>
      </c>
      <c r="L60" s="295" t="s">
        <v>507</v>
      </c>
      <c r="M60" s="17"/>
    </row>
    <row r="61" spans="1:13" x14ac:dyDescent="0.25">
      <c r="A61" s="482" t="s">
        <v>317</v>
      </c>
      <c r="B61" s="482"/>
      <c r="C61" s="482"/>
      <c r="D61" s="482"/>
      <c r="E61" s="167">
        <v>165.6</v>
      </c>
      <c r="F61" s="167">
        <v>213.3</v>
      </c>
      <c r="G61" s="167">
        <v>229.7</v>
      </c>
      <c r="H61" s="167">
        <v>241.8</v>
      </c>
      <c r="I61" s="167">
        <v>235.2</v>
      </c>
      <c r="J61" s="167">
        <v>235.9</v>
      </c>
      <c r="K61" s="2">
        <v>156.80000000000001</v>
      </c>
      <c r="L61" s="2">
        <v>206.1</v>
      </c>
    </row>
    <row r="62" spans="1:13" x14ac:dyDescent="0.25">
      <c r="A62" s="434" t="s">
        <v>318</v>
      </c>
      <c r="B62" s="434"/>
      <c r="C62" s="434"/>
      <c r="D62" s="434"/>
      <c r="E62" s="167">
        <v>128.30000000000001</v>
      </c>
      <c r="F62" s="167">
        <v>116</v>
      </c>
      <c r="G62" s="167">
        <v>137.4</v>
      </c>
      <c r="H62" s="167">
        <v>154.1</v>
      </c>
      <c r="I62" s="167">
        <v>151.4</v>
      </c>
      <c r="J62" s="167">
        <v>167.2</v>
      </c>
      <c r="K62" s="2">
        <v>176.3</v>
      </c>
      <c r="L62" s="2">
        <v>159.69999999999999</v>
      </c>
    </row>
    <row r="63" spans="1:13" x14ac:dyDescent="0.25">
      <c r="A63" s="434" t="s">
        <v>319</v>
      </c>
      <c r="B63" s="434"/>
      <c r="C63" s="434"/>
      <c r="D63" s="434"/>
      <c r="E63" s="167">
        <v>130.80000000000001</v>
      </c>
      <c r="F63" s="167">
        <v>135.4</v>
      </c>
      <c r="G63" s="167">
        <v>138.30000000000001</v>
      </c>
      <c r="H63" s="167">
        <v>121.8</v>
      </c>
      <c r="I63" s="167">
        <v>303.8</v>
      </c>
      <c r="J63" s="167">
        <v>399.5</v>
      </c>
      <c r="K63" s="2">
        <v>426.5</v>
      </c>
      <c r="L63" s="2">
        <v>280.60000000000002</v>
      </c>
    </row>
    <row r="64" spans="1:13" x14ac:dyDescent="0.25">
      <c r="A64" s="434" t="s">
        <v>321</v>
      </c>
      <c r="B64" s="434"/>
      <c r="C64" s="434"/>
      <c r="D64" s="434"/>
      <c r="E64" s="6">
        <v>93386</v>
      </c>
      <c r="F64" s="6">
        <v>92613</v>
      </c>
      <c r="G64" s="6">
        <v>41408</v>
      </c>
      <c r="H64" s="6">
        <v>43826</v>
      </c>
      <c r="I64" s="6">
        <v>44360</v>
      </c>
      <c r="J64" s="6">
        <v>46955</v>
      </c>
      <c r="K64" s="6">
        <v>27756</v>
      </c>
      <c r="L64" s="6">
        <v>33764</v>
      </c>
    </row>
    <row r="65" spans="1:12" x14ac:dyDescent="0.25">
      <c r="A65" s="434" t="s">
        <v>322</v>
      </c>
      <c r="B65" s="434"/>
      <c r="C65" s="434"/>
      <c r="D65" s="434"/>
      <c r="E65" s="6">
        <v>3443</v>
      </c>
      <c r="F65" s="6">
        <v>4130</v>
      </c>
      <c r="G65" s="6">
        <v>3681</v>
      </c>
      <c r="H65" s="6">
        <v>4292</v>
      </c>
      <c r="I65" s="6">
        <v>3725</v>
      </c>
      <c r="J65" s="6">
        <v>2320</v>
      </c>
      <c r="K65" s="6">
        <v>2611</v>
      </c>
      <c r="L65" s="6">
        <v>2220</v>
      </c>
    </row>
    <row r="66" spans="1:12" x14ac:dyDescent="0.25">
      <c r="A66" s="434" t="s">
        <v>323</v>
      </c>
      <c r="B66" s="434"/>
      <c r="C66" s="434"/>
      <c r="D66" s="434"/>
      <c r="E66" s="6">
        <v>5926</v>
      </c>
      <c r="F66" s="6">
        <v>7341</v>
      </c>
      <c r="G66" s="6">
        <v>4429</v>
      </c>
      <c r="H66" s="6">
        <v>4337</v>
      </c>
      <c r="I66" s="6">
        <v>10238</v>
      </c>
      <c r="J66" s="6">
        <v>6206</v>
      </c>
      <c r="K66" s="6">
        <v>6664</v>
      </c>
      <c r="L66" s="6">
        <v>4290</v>
      </c>
    </row>
    <row r="96" spans="1:1" x14ac:dyDescent="0.25">
      <c r="A96" s="307" t="s">
        <v>324</v>
      </c>
    </row>
    <row r="98" spans="1:5" x14ac:dyDescent="0.25">
      <c r="A98" s="182"/>
      <c r="B98" s="182" t="s">
        <v>177</v>
      </c>
      <c r="C98" s="182" t="s">
        <v>178</v>
      </c>
      <c r="D98" s="182" t="s">
        <v>179</v>
      </c>
    </row>
    <row r="99" spans="1:5" ht="30" x14ac:dyDescent="0.25">
      <c r="A99" s="174" t="s">
        <v>12</v>
      </c>
      <c r="B99" s="62">
        <f>(IV_Zem_Din!B25-26338988)/26338988</f>
        <v>-0.99998387561435542</v>
      </c>
      <c r="C99" s="62">
        <f>(47044857-25845441)/25845441</f>
        <v>0.82023812246035965</v>
      </c>
      <c r="D99" s="62">
        <f>(107023860-17488815)/17488812</f>
        <v>5.1195612943863766</v>
      </c>
      <c r="E99" s="149"/>
    </row>
    <row r="100" spans="1:5" x14ac:dyDescent="0.25">
      <c r="A100" s="68" t="s">
        <v>13</v>
      </c>
      <c r="B100" s="62">
        <f>(80254788-72018084)/72018084</f>
        <v>0.11436994074988166</v>
      </c>
      <c r="C100" s="62">
        <f>(24188533-25845441)/25845441</f>
        <v>-6.4108327654382069E-2</v>
      </c>
      <c r="D100" s="62">
        <f>(49771569-17488812)/17488812</f>
        <v>1.8459090874783262</v>
      </c>
      <c r="E100" s="149"/>
    </row>
    <row r="101" spans="1:5" x14ac:dyDescent="0.25">
      <c r="A101" s="68" t="s">
        <v>14</v>
      </c>
      <c r="B101" s="62">
        <f>(50195552-23676014)/23676014</f>
        <v>1.120101466403931</v>
      </c>
      <c r="C101" s="62">
        <f>(22144210-20101441)/20101441</f>
        <v>0.10162301299692893</v>
      </c>
      <c r="D101" s="62">
        <f>(23480649-17406483)/17406483</f>
        <v>0.3489599823238273</v>
      </c>
      <c r="E101" s="149"/>
    </row>
    <row r="102" spans="1:5" ht="30" x14ac:dyDescent="0.25">
      <c r="A102" s="174" t="s">
        <v>677</v>
      </c>
      <c r="B102" s="62">
        <f>(1935108-2012465)/2012465</f>
        <v>-3.8438929372684741E-2</v>
      </c>
      <c r="C102" s="62">
        <f>(20028268-22452188)/22452188</f>
        <v>-0.10795918865457567</v>
      </c>
      <c r="D102" s="62">
        <f>(59668644-57525219)/57525219</f>
        <v>3.7260614340294818E-2</v>
      </c>
      <c r="E102" s="149"/>
    </row>
    <row r="103" spans="1:5" ht="30" x14ac:dyDescent="0.25">
      <c r="A103" s="174" t="s">
        <v>15</v>
      </c>
      <c r="B103" s="62">
        <f>(19938721-16806310)/16806310</f>
        <v>0.18638303113532953</v>
      </c>
      <c r="C103" s="62">
        <f>(34634305-27769044)/27769044</f>
        <v>0.24722712816472905</v>
      </c>
      <c r="D103" s="62">
        <f>(21292379-18464598)/18464598</f>
        <v>0.1531460906974525</v>
      </c>
      <c r="E103" s="149"/>
    </row>
    <row r="104" spans="1:5" ht="30" x14ac:dyDescent="0.25">
      <c r="A104" s="174" t="s">
        <v>16</v>
      </c>
      <c r="B104" s="408">
        <v>15.375999999999999</v>
      </c>
      <c r="C104" s="62">
        <f>(3011378-1331319)/1331319</f>
        <v>1.2619507420836027</v>
      </c>
      <c r="D104" s="62">
        <f>(4984661-3443165)/3443165</f>
        <v>0.44769739469354503</v>
      </c>
      <c r="E104" s="149"/>
    </row>
    <row r="105" spans="1:5" x14ac:dyDescent="0.25">
      <c r="A105" s="68" t="s">
        <v>17</v>
      </c>
      <c r="B105" s="62">
        <f>(15512764-10790194)/10790194</f>
        <v>0.43767239032032235</v>
      </c>
      <c r="C105" s="62">
        <f>(3274274-2554415)/2554415</f>
        <v>0.28180972942924309</v>
      </c>
      <c r="D105" s="62">
        <f>(11077011-11232145)/11077011</f>
        <v>-1.4005041612759976E-2</v>
      </c>
      <c r="E105" s="149"/>
    </row>
    <row r="106" spans="1:5" x14ac:dyDescent="0.25">
      <c r="A106" s="68" t="s">
        <v>18</v>
      </c>
      <c r="B106" s="62">
        <f>(718456-5207498)/5207498</f>
        <v>-0.86203432051246109</v>
      </c>
      <c r="C106" s="62">
        <f>(5390530-1690186)/1690186</f>
        <v>2.1893117088888441</v>
      </c>
      <c r="D106" s="62">
        <f>(3316586-3014314)/3014314</f>
        <v>0.10027886942103577</v>
      </c>
      <c r="E106" s="149"/>
    </row>
    <row r="108" spans="1:5" ht="54.75" customHeight="1" x14ac:dyDescent="0.25">
      <c r="A108" s="481"/>
      <c r="B108" s="481"/>
      <c r="C108" s="481"/>
      <c r="D108" s="481"/>
    </row>
    <row r="116" ht="15.75" customHeight="1" x14ac:dyDescent="0.25"/>
  </sheetData>
  <mergeCells count="10">
    <mergeCell ref="A108:D108"/>
    <mergeCell ref="A64:D64"/>
    <mergeCell ref="A65:D65"/>
    <mergeCell ref="A66:D66"/>
    <mergeCell ref="B39:C39"/>
    <mergeCell ref="B40:C40"/>
    <mergeCell ref="B41:C41"/>
    <mergeCell ref="A61:D61"/>
    <mergeCell ref="A62:D62"/>
    <mergeCell ref="A63:D6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62"/>
  <sheetViews>
    <sheetView topLeftCell="A34" workbookViewId="0">
      <selection activeCell="P57" sqref="P57"/>
    </sheetView>
  </sheetViews>
  <sheetFormatPr defaultRowHeight="15" x14ac:dyDescent="0.25"/>
  <cols>
    <col min="1" max="1" width="5.85546875" customWidth="1"/>
    <col min="2" max="2" width="7.140625" customWidth="1"/>
    <col min="3" max="3" width="6" customWidth="1"/>
    <col min="4" max="4" width="14.85546875" bestFit="1" customWidth="1"/>
    <col min="5" max="5" width="6.42578125" customWidth="1"/>
    <col min="6" max="6" width="10.85546875" bestFit="1" customWidth="1"/>
    <col min="7" max="7" width="12.28515625" bestFit="1" customWidth="1"/>
    <col min="8" max="8" width="10.5703125" bestFit="1" customWidth="1"/>
    <col min="9" max="9" width="10.7109375" bestFit="1" customWidth="1"/>
    <col min="10" max="12" width="10.85546875" bestFit="1" customWidth="1"/>
    <col min="13" max="13" width="10" bestFit="1" customWidth="1"/>
    <col min="14" max="14" width="10.85546875" bestFit="1" customWidth="1"/>
    <col min="15" max="15" width="10.5703125" bestFit="1" customWidth="1"/>
    <col min="16" max="16" width="13.140625" bestFit="1" customWidth="1"/>
    <col min="17" max="17" width="10.5703125" bestFit="1" customWidth="1"/>
    <col min="18" max="18" width="10.85546875" bestFit="1" customWidth="1"/>
    <col min="19" max="19" width="13.140625" bestFit="1" customWidth="1"/>
    <col min="21" max="21" width="12.5703125" bestFit="1" customWidth="1"/>
    <col min="22" max="22" width="13.140625" bestFit="1" customWidth="1"/>
  </cols>
  <sheetData>
    <row r="1" spans="1:23" x14ac:dyDescent="0.25">
      <c r="A1" s="307" t="s">
        <v>42</v>
      </c>
      <c r="R1" s="21"/>
    </row>
    <row r="3" spans="1:23" ht="46.5" customHeight="1" x14ac:dyDescent="0.25">
      <c r="A3" s="484" t="s">
        <v>37</v>
      </c>
      <c r="B3" s="483" t="s">
        <v>44</v>
      </c>
      <c r="C3" s="483"/>
      <c r="D3" s="483"/>
      <c r="E3" s="483" t="s">
        <v>45</v>
      </c>
      <c r="F3" s="483"/>
      <c r="G3" s="483"/>
      <c r="H3" s="483" t="s">
        <v>47</v>
      </c>
      <c r="I3" s="483"/>
      <c r="J3" s="483"/>
      <c r="K3" s="483" t="s">
        <v>17</v>
      </c>
      <c r="L3" s="483"/>
      <c r="M3" s="483"/>
      <c r="N3" s="483" t="s">
        <v>15</v>
      </c>
      <c r="O3" s="483"/>
      <c r="P3" s="483"/>
      <c r="Q3" s="483" t="s">
        <v>678</v>
      </c>
      <c r="R3" s="483"/>
      <c r="S3" s="500"/>
      <c r="T3" s="497" t="s">
        <v>11</v>
      </c>
      <c r="U3" s="498"/>
      <c r="V3" s="499"/>
      <c r="W3" s="489" t="s">
        <v>152</v>
      </c>
    </row>
    <row r="4" spans="1:23" ht="90" x14ac:dyDescent="0.25">
      <c r="A4" s="484"/>
      <c r="B4" s="175" t="s">
        <v>46</v>
      </c>
      <c r="C4" s="175" t="s">
        <v>579</v>
      </c>
      <c r="D4" s="175" t="s">
        <v>43</v>
      </c>
      <c r="E4" s="175" t="s">
        <v>46</v>
      </c>
      <c r="F4" s="175" t="s">
        <v>148</v>
      </c>
      <c r="G4" s="175" t="s">
        <v>43</v>
      </c>
      <c r="H4" s="175" t="s">
        <v>159</v>
      </c>
      <c r="I4" s="175" t="s">
        <v>148</v>
      </c>
      <c r="J4" s="175" t="s">
        <v>43</v>
      </c>
      <c r="K4" s="331" t="s">
        <v>159</v>
      </c>
      <c r="L4" s="331" t="s">
        <v>148</v>
      </c>
      <c r="M4" s="331" t="s">
        <v>43</v>
      </c>
      <c r="N4" s="338" t="s">
        <v>159</v>
      </c>
      <c r="O4" s="338" t="s">
        <v>148</v>
      </c>
      <c r="P4" s="338" t="s">
        <v>43</v>
      </c>
      <c r="Q4" s="175" t="s">
        <v>159</v>
      </c>
      <c r="R4" s="175" t="s">
        <v>148</v>
      </c>
      <c r="S4" s="191" t="s">
        <v>43</v>
      </c>
      <c r="T4" s="192" t="s">
        <v>578</v>
      </c>
      <c r="U4" s="338" t="s">
        <v>148</v>
      </c>
      <c r="V4" s="338" t="s">
        <v>43</v>
      </c>
      <c r="W4" s="490"/>
    </row>
    <row r="5" spans="1:23" x14ac:dyDescent="0.25">
      <c r="A5" s="2">
        <v>2012</v>
      </c>
      <c r="B5" s="59"/>
      <c r="C5" s="2">
        <v>52</v>
      </c>
      <c r="D5" s="6">
        <v>18927041</v>
      </c>
      <c r="E5" s="59"/>
      <c r="F5" s="2">
        <v>2</v>
      </c>
      <c r="G5" s="6">
        <v>261096977</v>
      </c>
      <c r="H5" s="59"/>
      <c r="I5" s="2">
        <v>9</v>
      </c>
      <c r="J5" s="6">
        <v>996010</v>
      </c>
      <c r="K5" s="59"/>
      <c r="L5" s="59"/>
      <c r="M5" s="105"/>
      <c r="N5" s="59"/>
      <c r="O5" s="59"/>
      <c r="P5" s="105"/>
      <c r="Q5" s="59"/>
      <c r="R5" s="2">
        <v>8</v>
      </c>
      <c r="S5" s="23">
        <v>26892277</v>
      </c>
      <c r="T5" s="22">
        <v>0</v>
      </c>
      <c r="U5" s="2">
        <f t="shared" ref="U5:V9" si="0">C5+F5+I5+R5</f>
        <v>71</v>
      </c>
      <c r="V5" s="6">
        <f t="shared" si="0"/>
        <v>307912305</v>
      </c>
      <c r="W5" s="6">
        <f t="shared" ref="W5:W10" si="1">V5/U5</f>
        <v>4336793.0281690145</v>
      </c>
    </row>
    <row r="6" spans="1:23" x14ac:dyDescent="0.25">
      <c r="A6" s="2">
        <v>2013</v>
      </c>
      <c r="B6" s="59"/>
      <c r="C6" s="2">
        <v>61</v>
      </c>
      <c r="D6" s="6">
        <v>21098554</v>
      </c>
      <c r="E6" s="59"/>
      <c r="F6" s="2">
        <v>0</v>
      </c>
      <c r="G6" s="6">
        <v>0</v>
      </c>
      <c r="H6" s="59"/>
      <c r="I6" s="2">
        <v>8</v>
      </c>
      <c r="J6" s="6">
        <v>1411781</v>
      </c>
      <c r="K6" s="59"/>
      <c r="L6" s="59"/>
      <c r="M6" s="105"/>
      <c r="N6" s="59"/>
      <c r="O6" s="59"/>
      <c r="P6" s="105"/>
      <c r="Q6" s="59"/>
      <c r="R6" s="2">
        <v>12</v>
      </c>
      <c r="S6" s="23">
        <v>27501354</v>
      </c>
      <c r="T6" s="22">
        <v>0</v>
      </c>
      <c r="U6" s="2">
        <f t="shared" si="0"/>
        <v>81</v>
      </c>
      <c r="V6" s="6">
        <f t="shared" si="0"/>
        <v>50011689</v>
      </c>
      <c r="W6" s="6">
        <f t="shared" si="1"/>
        <v>617428.25925925921</v>
      </c>
    </row>
    <row r="7" spans="1:23" x14ac:dyDescent="0.25">
      <c r="A7" s="2">
        <v>2014</v>
      </c>
      <c r="B7" s="2">
        <v>19</v>
      </c>
      <c r="C7" s="2">
        <v>107</v>
      </c>
      <c r="D7" s="6">
        <v>59729802</v>
      </c>
      <c r="E7" s="2">
        <v>3</v>
      </c>
      <c r="F7" s="2">
        <v>6</v>
      </c>
      <c r="G7" s="6">
        <v>164507312</v>
      </c>
      <c r="H7" s="2">
        <v>17</v>
      </c>
      <c r="I7" s="2">
        <v>41</v>
      </c>
      <c r="J7" s="6">
        <v>5321663</v>
      </c>
      <c r="K7" s="59"/>
      <c r="L7" s="59"/>
      <c r="M7" s="105"/>
      <c r="N7" s="59"/>
      <c r="O7" s="59"/>
      <c r="P7" s="105"/>
      <c r="Q7" s="2">
        <v>2</v>
      </c>
      <c r="R7" s="2">
        <v>10</v>
      </c>
      <c r="S7" s="23">
        <v>38944180</v>
      </c>
      <c r="T7" s="22">
        <v>41</v>
      </c>
      <c r="U7" s="2">
        <f t="shared" si="0"/>
        <v>164</v>
      </c>
      <c r="V7" s="6">
        <f t="shared" si="0"/>
        <v>268502957</v>
      </c>
      <c r="W7" s="6">
        <f t="shared" si="1"/>
        <v>1637213.1524390243</v>
      </c>
    </row>
    <row r="8" spans="1:23" x14ac:dyDescent="0.25">
      <c r="A8" s="2">
        <v>2015</v>
      </c>
      <c r="B8" s="2">
        <v>29</v>
      </c>
      <c r="C8" s="2">
        <v>114</v>
      </c>
      <c r="D8" s="6">
        <v>53923521</v>
      </c>
      <c r="E8" s="2">
        <v>1</v>
      </c>
      <c r="F8" s="2">
        <v>1</v>
      </c>
      <c r="G8" s="6">
        <v>46471239</v>
      </c>
      <c r="H8" s="2">
        <v>11</v>
      </c>
      <c r="I8" s="2">
        <v>65</v>
      </c>
      <c r="J8" s="6">
        <v>2416917</v>
      </c>
      <c r="K8" s="59"/>
      <c r="L8" s="59"/>
      <c r="M8" s="105"/>
      <c r="N8" s="59"/>
      <c r="O8" s="59"/>
      <c r="P8" s="105"/>
      <c r="Q8" s="2">
        <v>2</v>
      </c>
      <c r="R8" s="2">
        <v>8</v>
      </c>
      <c r="S8" s="23">
        <v>23704458</v>
      </c>
      <c r="T8" s="22">
        <f>B8+E8+H8+Q8</f>
        <v>43</v>
      </c>
      <c r="U8" s="2">
        <f t="shared" si="0"/>
        <v>188</v>
      </c>
      <c r="V8" s="6">
        <f t="shared" si="0"/>
        <v>126516135</v>
      </c>
      <c r="W8" s="6">
        <f t="shared" si="1"/>
        <v>672958.16489361704</v>
      </c>
    </row>
    <row r="9" spans="1:23" x14ac:dyDescent="0.25">
      <c r="A9" s="111">
        <v>2016</v>
      </c>
      <c r="B9" s="2">
        <v>29</v>
      </c>
      <c r="C9" s="2">
        <v>110</v>
      </c>
      <c r="D9" s="6">
        <v>52163751</v>
      </c>
      <c r="E9" s="2">
        <v>1</v>
      </c>
      <c r="F9" s="2">
        <v>1</v>
      </c>
      <c r="G9" s="6">
        <v>45392495</v>
      </c>
      <c r="H9" s="2">
        <v>17</v>
      </c>
      <c r="I9" s="2">
        <v>66</v>
      </c>
      <c r="J9" s="6">
        <v>2555464</v>
      </c>
      <c r="K9" s="59"/>
      <c r="L9" s="59"/>
      <c r="M9" s="105"/>
      <c r="N9" s="59"/>
      <c r="O9" s="59"/>
      <c r="P9" s="105"/>
      <c r="Q9" s="2">
        <v>1</v>
      </c>
      <c r="R9" s="2">
        <v>69</v>
      </c>
      <c r="S9" s="67">
        <v>21267963</v>
      </c>
      <c r="T9" s="27">
        <v>48</v>
      </c>
      <c r="U9" s="2">
        <f t="shared" si="0"/>
        <v>246</v>
      </c>
      <c r="V9" s="6">
        <f t="shared" si="0"/>
        <v>121379673</v>
      </c>
      <c r="W9" s="6">
        <f t="shared" si="1"/>
        <v>493413.30487804877</v>
      </c>
    </row>
    <row r="10" spans="1:23" x14ac:dyDescent="0.25">
      <c r="A10" s="111">
        <v>2017</v>
      </c>
      <c r="B10" s="2">
        <v>30</v>
      </c>
      <c r="C10" s="2">
        <v>158</v>
      </c>
      <c r="D10" s="6">
        <v>54899247</v>
      </c>
      <c r="E10" s="2">
        <v>1</v>
      </c>
      <c r="F10" s="2">
        <v>1</v>
      </c>
      <c r="G10" s="6">
        <v>41211453</v>
      </c>
      <c r="H10" s="2">
        <v>16</v>
      </c>
      <c r="I10" s="2">
        <v>97</v>
      </c>
      <c r="J10" s="6">
        <v>2177695</v>
      </c>
      <c r="K10" s="2">
        <v>1</v>
      </c>
      <c r="L10" s="2">
        <v>8</v>
      </c>
      <c r="M10" s="6">
        <v>64474526</v>
      </c>
      <c r="N10" s="2">
        <v>1</v>
      </c>
      <c r="O10" s="2">
        <v>2</v>
      </c>
      <c r="P10" s="6">
        <v>135000000</v>
      </c>
      <c r="Q10" s="2">
        <v>1</v>
      </c>
      <c r="R10" s="2">
        <v>86</v>
      </c>
      <c r="S10" s="67">
        <v>16661117</v>
      </c>
      <c r="T10" s="27">
        <f>B10+E10+H10+K10+N10+Q10</f>
        <v>50</v>
      </c>
      <c r="U10" s="2">
        <f>C10+F10+I10+L10+O10+R10</f>
        <v>352</v>
      </c>
      <c r="V10" s="6">
        <f>D10+G10+J10+M10+P10+S10</f>
        <v>314424038</v>
      </c>
      <c r="W10" s="6">
        <f t="shared" si="1"/>
        <v>893250.10795454541</v>
      </c>
    </row>
    <row r="12" spans="1:23" x14ac:dyDescent="0.25">
      <c r="A12" s="307" t="s">
        <v>146</v>
      </c>
      <c r="R12" s="16"/>
      <c r="S12" s="16"/>
      <c r="T12" s="16"/>
      <c r="U12" s="25"/>
    </row>
    <row r="13" spans="1:23" x14ac:dyDescent="0.25">
      <c r="R13" s="16"/>
      <c r="S13" s="16"/>
      <c r="T13" s="16"/>
      <c r="U13" s="25"/>
    </row>
    <row r="14" spans="1:23" x14ac:dyDescent="0.25">
      <c r="A14" s="484" t="s">
        <v>37</v>
      </c>
      <c r="B14" s="484" t="s">
        <v>9</v>
      </c>
      <c r="C14" s="484"/>
      <c r="D14" s="484"/>
      <c r="E14" s="486"/>
      <c r="F14" s="352"/>
      <c r="G14" s="339"/>
      <c r="H14" s="342"/>
      <c r="R14" s="16"/>
      <c r="S14" s="16"/>
      <c r="T14" s="16"/>
      <c r="U14" s="25"/>
    </row>
    <row r="15" spans="1:23" ht="170.25" customHeight="1" x14ac:dyDescent="0.25">
      <c r="A15" s="484"/>
      <c r="B15" s="340" t="s">
        <v>46</v>
      </c>
      <c r="C15" s="404" t="s">
        <v>580</v>
      </c>
      <c r="D15" s="340" t="s">
        <v>6</v>
      </c>
      <c r="E15" s="405" t="s">
        <v>581</v>
      </c>
      <c r="F15" s="353"/>
      <c r="G15" s="194" t="s">
        <v>149</v>
      </c>
      <c r="H15" s="340" t="s">
        <v>160</v>
      </c>
      <c r="L15" s="15"/>
      <c r="R15" s="16"/>
      <c r="S15" s="16"/>
      <c r="T15" s="16"/>
      <c r="U15" s="16"/>
    </row>
    <row r="16" spans="1:23" x14ac:dyDescent="0.25">
      <c r="A16" s="2">
        <v>2012</v>
      </c>
      <c r="B16" s="2"/>
      <c r="C16" s="417"/>
      <c r="D16" s="6">
        <f>V5</f>
        <v>307912305</v>
      </c>
      <c r="E16" s="418">
        <v>0.17100000000000001</v>
      </c>
      <c r="F16" s="29"/>
      <c r="G16" s="28">
        <v>1804590796</v>
      </c>
      <c r="H16" s="2">
        <v>240</v>
      </c>
    </row>
    <row r="17" spans="1:12" x14ac:dyDescent="0.25">
      <c r="A17" s="2">
        <v>2013</v>
      </c>
      <c r="B17" s="2"/>
      <c r="C17" s="417"/>
      <c r="D17" s="6">
        <f>V6</f>
        <v>50011689</v>
      </c>
      <c r="E17" s="418">
        <v>3.7999999999999999E-2</v>
      </c>
      <c r="F17" s="29"/>
      <c r="G17" s="28">
        <v>1305115872</v>
      </c>
      <c r="H17" s="2">
        <v>238</v>
      </c>
    </row>
    <row r="18" spans="1:12" x14ac:dyDescent="0.25">
      <c r="A18" s="2">
        <v>2014</v>
      </c>
      <c r="B18" s="2">
        <v>41</v>
      </c>
      <c r="C18" s="414">
        <f>B18/H18</f>
        <v>0.18552036199095023</v>
      </c>
      <c r="D18" s="6">
        <f>V7</f>
        <v>268502957</v>
      </c>
      <c r="E18" s="418">
        <v>0.16400000000000001</v>
      </c>
      <c r="F18" s="29"/>
      <c r="G18" s="28">
        <v>1632977236</v>
      </c>
      <c r="H18" s="2">
        <v>221</v>
      </c>
    </row>
    <row r="19" spans="1:12" x14ac:dyDescent="0.25">
      <c r="A19" s="2">
        <v>2015</v>
      </c>
      <c r="B19" s="2">
        <f>T8</f>
        <v>43</v>
      </c>
      <c r="C19" s="414">
        <f>B19/II_Dinamika_sps_skaits_kopā_sum!G17</f>
        <v>0.18297872340425531</v>
      </c>
      <c r="D19" s="26">
        <f>V8</f>
        <v>126516135</v>
      </c>
      <c r="E19" s="418">
        <v>9.8000000000000004E-2</v>
      </c>
      <c r="F19" s="29"/>
      <c r="G19" s="28">
        <v>1296767325</v>
      </c>
      <c r="H19" s="2">
        <v>235</v>
      </c>
    </row>
    <row r="20" spans="1:12" x14ac:dyDescent="0.25">
      <c r="A20" s="111">
        <v>2016</v>
      </c>
      <c r="B20" s="2">
        <v>48</v>
      </c>
      <c r="C20" s="414">
        <v>0.21099999999999999</v>
      </c>
      <c r="D20" s="6">
        <v>121379673</v>
      </c>
      <c r="E20" s="414">
        <v>7.9000000000000001E-2</v>
      </c>
      <c r="F20" s="30"/>
      <c r="G20" s="6">
        <v>1529612786</v>
      </c>
      <c r="H20" s="2">
        <v>228</v>
      </c>
    </row>
    <row r="21" spans="1:12" x14ac:dyDescent="0.25">
      <c r="A21" s="111">
        <v>2017</v>
      </c>
      <c r="B21" s="2">
        <v>50</v>
      </c>
      <c r="C21" s="414">
        <f>B21/H21</f>
        <v>0.21739130434782608</v>
      </c>
      <c r="D21" s="6">
        <v>314424038</v>
      </c>
      <c r="E21" s="414">
        <f>D21/G21</f>
        <v>0.2540432661814514</v>
      </c>
      <c r="F21" s="317"/>
      <c r="G21" s="6">
        <v>1237679088</v>
      </c>
      <c r="H21" s="2">
        <v>230</v>
      </c>
    </row>
    <row r="23" spans="1:12" x14ac:dyDescent="0.25">
      <c r="B23" s="307" t="s">
        <v>509</v>
      </c>
    </row>
    <row r="25" spans="1:12" ht="30.75" customHeight="1" x14ac:dyDescent="0.25">
      <c r="A25" s="491"/>
      <c r="B25" s="491"/>
      <c r="C25" s="491"/>
      <c r="D25" s="498" t="s">
        <v>429</v>
      </c>
      <c r="E25" s="498"/>
      <c r="F25" s="499"/>
      <c r="G25" s="486" t="s">
        <v>470</v>
      </c>
      <c r="H25" s="498"/>
      <c r="I25" s="498"/>
      <c r="J25" s="502" t="s">
        <v>558</v>
      </c>
      <c r="K25" s="503"/>
      <c r="L25" s="504"/>
    </row>
    <row r="26" spans="1:12" ht="75" x14ac:dyDescent="0.25">
      <c r="A26" s="491"/>
      <c r="B26" s="491"/>
      <c r="C26" s="491"/>
      <c r="D26" s="194" t="s">
        <v>147</v>
      </c>
      <c r="E26" s="175" t="s">
        <v>154</v>
      </c>
      <c r="F26" s="175" t="s">
        <v>43</v>
      </c>
      <c r="G26" s="175" t="s">
        <v>147</v>
      </c>
      <c r="H26" s="175" t="s">
        <v>148</v>
      </c>
      <c r="I26" s="191" t="s">
        <v>43</v>
      </c>
      <c r="J26" s="192" t="s">
        <v>159</v>
      </c>
      <c r="K26" s="404" t="s">
        <v>148</v>
      </c>
      <c r="L26" s="404" t="s">
        <v>43</v>
      </c>
    </row>
    <row r="27" spans="1:12" x14ac:dyDescent="0.25">
      <c r="A27" s="492" t="s">
        <v>11</v>
      </c>
      <c r="B27" s="492"/>
      <c r="C27" s="492"/>
      <c r="D27" s="45">
        <v>48</v>
      </c>
      <c r="E27" s="46">
        <v>246</v>
      </c>
      <c r="F27" s="47">
        <v>121379673</v>
      </c>
      <c r="G27" s="297">
        <v>50</v>
      </c>
      <c r="H27" s="297">
        <v>352</v>
      </c>
      <c r="I27" s="49">
        <v>314424038</v>
      </c>
      <c r="J27" s="409">
        <f>(G27-D27)/D27</f>
        <v>4.1666666666666664E-2</v>
      </c>
      <c r="K27" s="410">
        <f>(H27-E27)/E27</f>
        <v>0.43089430894308944</v>
      </c>
      <c r="L27" s="410">
        <f>(I27-F27)/F27</f>
        <v>1.590417573459767</v>
      </c>
    </row>
    <row r="28" spans="1:12" x14ac:dyDescent="0.25">
      <c r="A28" s="436" t="s">
        <v>158</v>
      </c>
      <c r="B28" s="493"/>
      <c r="C28" s="493"/>
      <c r="D28" s="52"/>
      <c r="E28" s="53"/>
      <c r="F28" s="53"/>
      <c r="G28" s="52"/>
      <c r="H28" s="54"/>
      <c r="I28" s="54"/>
      <c r="J28" s="54"/>
      <c r="K28" s="53"/>
      <c r="L28" s="84"/>
    </row>
    <row r="29" spans="1:12" x14ac:dyDescent="0.25">
      <c r="A29" s="485" t="s">
        <v>12</v>
      </c>
      <c r="B29" s="485"/>
      <c r="C29" s="485"/>
      <c r="D29" s="19">
        <v>29</v>
      </c>
      <c r="E29" s="50">
        <v>110</v>
      </c>
      <c r="F29" s="50">
        <v>52163751</v>
      </c>
      <c r="G29" s="50">
        <v>30</v>
      </c>
      <c r="H29" s="19">
        <v>158</v>
      </c>
      <c r="I29" s="51">
        <v>54899247</v>
      </c>
      <c r="J29" s="411">
        <f t="shared" ref="J29:L32" si="2">(G29-D29)/D29</f>
        <v>3.4482758620689655E-2</v>
      </c>
      <c r="K29" s="412">
        <f t="shared" si="2"/>
        <v>0.43636363636363634</v>
      </c>
      <c r="L29" s="412">
        <f t="shared" si="2"/>
        <v>5.2440553977799641E-2</v>
      </c>
    </row>
    <row r="30" spans="1:12" x14ac:dyDescent="0.25">
      <c r="A30" s="487" t="s">
        <v>14</v>
      </c>
      <c r="B30" s="487"/>
      <c r="C30" s="487"/>
      <c r="D30" s="6">
        <v>17</v>
      </c>
      <c r="E30" s="38">
        <v>66</v>
      </c>
      <c r="F30" s="38">
        <v>2555464</v>
      </c>
      <c r="G30" s="38">
        <v>16</v>
      </c>
      <c r="H30" s="6">
        <v>97</v>
      </c>
      <c r="I30" s="23">
        <v>2177695</v>
      </c>
      <c r="J30" s="413">
        <f t="shared" si="2"/>
        <v>-5.8823529411764705E-2</v>
      </c>
      <c r="K30" s="414">
        <f t="shared" si="2"/>
        <v>0.46969696969696972</v>
      </c>
      <c r="L30" s="414">
        <f t="shared" si="2"/>
        <v>-0.14782794827084239</v>
      </c>
    </row>
    <row r="31" spans="1:12" x14ac:dyDescent="0.25">
      <c r="A31" s="488" t="s">
        <v>677</v>
      </c>
      <c r="B31" s="488"/>
      <c r="C31" s="488"/>
      <c r="D31" s="6">
        <v>1</v>
      </c>
      <c r="E31" s="38">
        <v>69</v>
      </c>
      <c r="F31" s="38">
        <v>21267963</v>
      </c>
      <c r="G31" s="38">
        <v>1</v>
      </c>
      <c r="H31" s="6">
        <v>86</v>
      </c>
      <c r="I31" s="23">
        <v>16661117</v>
      </c>
      <c r="J31" s="413">
        <f t="shared" si="2"/>
        <v>0</v>
      </c>
      <c r="K31" s="414">
        <f t="shared" si="2"/>
        <v>0.24637681159420291</v>
      </c>
      <c r="L31" s="414">
        <f t="shared" si="2"/>
        <v>-0.21660964898236845</v>
      </c>
    </row>
    <row r="32" spans="1:12" x14ac:dyDescent="0.25">
      <c r="A32" s="488" t="s">
        <v>13</v>
      </c>
      <c r="B32" s="488"/>
      <c r="C32" s="488"/>
      <c r="D32" s="6">
        <v>1</v>
      </c>
      <c r="E32" s="38">
        <v>1</v>
      </c>
      <c r="F32" s="38">
        <v>45392495</v>
      </c>
      <c r="G32" s="38">
        <v>1</v>
      </c>
      <c r="H32" s="6">
        <v>1</v>
      </c>
      <c r="I32" s="23">
        <v>41211453</v>
      </c>
      <c r="J32" s="413">
        <f t="shared" si="2"/>
        <v>0</v>
      </c>
      <c r="K32" s="414">
        <f t="shared" si="2"/>
        <v>0</v>
      </c>
      <c r="L32" s="414">
        <f t="shared" si="2"/>
        <v>-9.2108662456205595E-2</v>
      </c>
    </row>
    <row r="33" spans="1:19" x14ac:dyDescent="0.25">
      <c r="A33" s="488" t="s">
        <v>17</v>
      </c>
      <c r="B33" s="488"/>
      <c r="C33" s="488"/>
      <c r="D33" s="6">
        <v>0</v>
      </c>
      <c r="E33" s="38">
        <v>0</v>
      </c>
      <c r="F33" s="38">
        <v>0</v>
      </c>
      <c r="G33" s="38">
        <v>1</v>
      </c>
      <c r="H33" s="6">
        <v>8</v>
      </c>
      <c r="I33" s="23">
        <v>64474526</v>
      </c>
      <c r="J33" s="413">
        <v>1</v>
      </c>
      <c r="K33" s="414">
        <v>1</v>
      </c>
      <c r="L33" s="414">
        <v>1</v>
      </c>
    </row>
    <row r="34" spans="1:19" x14ac:dyDescent="0.25">
      <c r="A34" s="488" t="s">
        <v>15</v>
      </c>
      <c r="B34" s="488"/>
      <c r="C34" s="488"/>
      <c r="D34" s="6">
        <v>0</v>
      </c>
      <c r="E34" s="38">
        <v>0</v>
      </c>
      <c r="F34" s="38">
        <v>0</v>
      </c>
      <c r="G34" s="38">
        <v>1</v>
      </c>
      <c r="H34" s="6">
        <v>2</v>
      </c>
      <c r="I34" s="23">
        <v>135000000</v>
      </c>
      <c r="J34" s="413">
        <v>1</v>
      </c>
      <c r="K34" s="414">
        <v>1</v>
      </c>
      <c r="L34" s="414">
        <v>1</v>
      </c>
    </row>
    <row r="36" spans="1:19" x14ac:dyDescent="0.25">
      <c r="A36" s="307" t="s">
        <v>623</v>
      </c>
    </row>
    <row r="38" spans="1:19" ht="32.25" customHeight="1" x14ac:dyDescent="0.25">
      <c r="A38" s="484" t="s">
        <v>156</v>
      </c>
      <c r="B38" s="484"/>
      <c r="C38" s="484"/>
      <c r="D38" s="484"/>
      <c r="E38" s="483" t="s">
        <v>12</v>
      </c>
      <c r="F38" s="483"/>
      <c r="G38" s="484" t="s">
        <v>14</v>
      </c>
      <c r="H38" s="484"/>
      <c r="I38" s="483" t="s">
        <v>677</v>
      </c>
      <c r="J38" s="483"/>
      <c r="K38" s="484" t="s">
        <v>157</v>
      </c>
      <c r="L38" s="486"/>
      <c r="M38" s="484" t="s">
        <v>17</v>
      </c>
      <c r="N38" s="486"/>
      <c r="O38" s="484" t="s">
        <v>15</v>
      </c>
      <c r="P38" s="486"/>
      <c r="Q38" s="501" t="s">
        <v>19</v>
      </c>
      <c r="R38" s="484"/>
      <c r="S38" s="483" t="s">
        <v>10</v>
      </c>
    </row>
    <row r="39" spans="1:19" ht="75" x14ac:dyDescent="0.25">
      <c r="A39" s="484"/>
      <c r="B39" s="484"/>
      <c r="C39" s="484"/>
      <c r="D39" s="484"/>
      <c r="E39" s="340" t="s">
        <v>154</v>
      </c>
      <c r="F39" s="340" t="s">
        <v>6</v>
      </c>
      <c r="G39" s="340" t="s">
        <v>148</v>
      </c>
      <c r="H39" s="340" t="s">
        <v>6</v>
      </c>
      <c r="I39" s="340" t="s">
        <v>148</v>
      </c>
      <c r="J39" s="340" t="s">
        <v>6</v>
      </c>
      <c r="K39" s="340" t="s">
        <v>148</v>
      </c>
      <c r="L39" s="341" t="s">
        <v>6</v>
      </c>
      <c r="M39" s="340" t="s">
        <v>148</v>
      </c>
      <c r="N39" s="341" t="s">
        <v>6</v>
      </c>
      <c r="O39" s="340" t="s">
        <v>148</v>
      </c>
      <c r="P39" s="341" t="s">
        <v>6</v>
      </c>
      <c r="Q39" s="192" t="s">
        <v>148</v>
      </c>
      <c r="R39" s="340" t="s">
        <v>6</v>
      </c>
      <c r="S39" s="483"/>
    </row>
    <row r="40" spans="1:19" x14ac:dyDescent="0.25">
      <c r="A40" s="494" t="s">
        <v>568</v>
      </c>
      <c r="B40" s="495"/>
      <c r="C40" s="495"/>
      <c r="D40" s="496"/>
      <c r="E40" s="343"/>
      <c r="F40" s="343"/>
      <c r="G40" s="343"/>
      <c r="H40" s="343"/>
      <c r="I40" s="343"/>
      <c r="J40" s="343"/>
      <c r="K40" s="343"/>
      <c r="L40" s="344"/>
      <c r="M40" s="343">
        <v>1</v>
      </c>
      <c r="N40" s="344">
        <v>41123299</v>
      </c>
      <c r="O40" s="343"/>
      <c r="P40" s="344"/>
      <c r="Q40" s="39">
        <f>M40</f>
        <v>1</v>
      </c>
      <c r="R40" s="6">
        <f>N40</f>
        <v>41123299</v>
      </c>
      <c r="S40" s="414">
        <f>R40/R50</f>
        <v>0.13078929735009637</v>
      </c>
    </row>
    <row r="41" spans="1:19" x14ac:dyDescent="0.25">
      <c r="A41" s="494" t="s">
        <v>565</v>
      </c>
      <c r="B41" s="495"/>
      <c r="C41" s="495"/>
      <c r="D41" s="496"/>
      <c r="E41" s="343">
        <v>1</v>
      </c>
      <c r="F41" s="343">
        <v>24798</v>
      </c>
      <c r="G41" s="343">
        <v>10</v>
      </c>
      <c r="H41" s="343">
        <v>89585</v>
      </c>
      <c r="I41" s="343"/>
      <c r="J41" s="343"/>
      <c r="K41" s="343">
        <v>1</v>
      </c>
      <c r="L41" s="344">
        <v>41211453</v>
      </c>
      <c r="M41" s="343"/>
      <c r="N41" s="344"/>
      <c r="O41" s="343"/>
      <c r="P41" s="344"/>
      <c r="Q41" s="39">
        <f>E41+G41+K41</f>
        <v>12</v>
      </c>
      <c r="R41" s="6">
        <f>F41+H41+L41</f>
        <v>41325836</v>
      </c>
      <c r="S41" s="414"/>
    </row>
    <row r="42" spans="1:19" x14ac:dyDescent="0.25">
      <c r="A42" s="494" t="s">
        <v>570</v>
      </c>
      <c r="B42" s="495"/>
      <c r="C42" s="495"/>
      <c r="D42" s="496"/>
      <c r="E42" s="343"/>
      <c r="F42" s="343"/>
      <c r="G42" s="343">
        <v>11</v>
      </c>
      <c r="H42" s="343">
        <v>1360</v>
      </c>
      <c r="I42" s="343"/>
      <c r="J42" s="343"/>
      <c r="K42" s="343"/>
      <c r="L42" s="344"/>
      <c r="M42" s="343"/>
      <c r="N42" s="344"/>
      <c r="O42" s="343"/>
      <c r="P42" s="344"/>
      <c r="Q42" s="39">
        <f>G42</f>
        <v>11</v>
      </c>
      <c r="R42" s="6">
        <f>H42</f>
        <v>1360</v>
      </c>
      <c r="S42" s="414"/>
    </row>
    <row r="43" spans="1:19" x14ac:dyDescent="0.25">
      <c r="A43" s="494" t="s">
        <v>567</v>
      </c>
      <c r="B43" s="495"/>
      <c r="C43" s="495"/>
      <c r="D43" s="496"/>
      <c r="E43" s="343"/>
      <c r="F43" s="343"/>
      <c r="G43" s="343"/>
      <c r="H43" s="343"/>
      <c r="I43" s="343"/>
      <c r="J43" s="343"/>
      <c r="K43" s="343"/>
      <c r="L43" s="344"/>
      <c r="M43" s="343"/>
      <c r="N43" s="344"/>
      <c r="O43" s="343">
        <v>2</v>
      </c>
      <c r="P43" s="344">
        <v>135000000</v>
      </c>
      <c r="Q43" s="39">
        <f>O43</f>
        <v>2</v>
      </c>
      <c r="R43" s="6">
        <f>P43</f>
        <v>135000000</v>
      </c>
      <c r="S43" s="414">
        <f>R43/R50</f>
        <v>0.42935648577860958</v>
      </c>
    </row>
    <row r="44" spans="1:19" x14ac:dyDescent="0.25">
      <c r="A44" s="494" t="s">
        <v>560</v>
      </c>
      <c r="B44" s="495"/>
      <c r="C44" s="495"/>
      <c r="D44" s="496"/>
      <c r="E44" s="343">
        <v>3</v>
      </c>
      <c r="F44" s="343">
        <v>1299607</v>
      </c>
      <c r="G44" s="343"/>
      <c r="H44" s="343"/>
      <c r="I44" s="343"/>
      <c r="J44" s="343"/>
      <c r="K44" s="343"/>
      <c r="L44" s="344"/>
      <c r="M44" s="343"/>
      <c r="N44" s="344"/>
      <c r="O44" s="343"/>
      <c r="P44" s="344"/>
      <c r="Q44" s="39">
        <f>E44</f>
        <v>3</v>
      </c>
      <c r="R44" s="6">
        <f>F44</f>
        <v>1299607</v>
      </c>
      <c r="S44" s="414">
        <f>R44/R50</f>
        <v>4.1332940326909741E-3</v>
      </c>
    </row>
    <row r="45" spans="1:19" x14ac:dyDescent="0.25">
      <c r="A45" s="494" t="s">
        <v>564</v>
      </c>
      <c r="B45" s="495"/>
      <c r="C45" s="495"/>
      <c r="D45" s="496"/>
      <c r="E45" s="343">
        <v>1</v>
      </c>
      <c r="F45" s="343">
        <v>1031</v>
      </c>
      <c r="G45" s="343"/>
      <c r="H45" s="343"/>
      <c r="I45" s="343"/>
      <c r="J45" s="343"/>
      <c r="K45" s="343"/>
      <c r="L45" s="343"/>
      <c r="M45" s="345"/>
      <c r="N45" s="345"/>
      <c r="O45" s="343"/>
      <c r="P45" s="344"/>
      <c r="Q45" s="39">
        <f>E45</f>
        <v>1</v>
      </c>
      <c r="R45" s="6">
        <f>F45</f>
        <v>1031</v>
      </c>
      <c r="S45" s="414">
        <f>R45/R50</f>
        <v>3.2790113839833072E-6</v>
      </c>
    </row>
    <row r="46" spans="1:19" x14ac:dyDescent="0.25">
      <c r="A46" s="509" t="s">
        <v>559</v>
      </c>
      <c r="B46" s="509"/>
      <c r="C46" s="509"/>
      <c r="D46" s="509"/>
      <c r="E46" s="345">
        <v>152</v>
      </c>
      <c r="F46" s="345">
        <v>52858059</v>
      </c>
      <c r="G46" s="345">
        <v>43</v>
      </c>
      <c r="H46" s="345">
        <v>1991113</v>
      </c>
      <c r="I46" s="345"/>
      <c r="J46" s="345"/>
      <c r="K46" s="345"/>
      <c r="L46" s="345"/>
      <c r="M46" s="343"/>
      <c r="N46" s="344"/>
      <c r="O46" s="343"/>
      <c r="P46" s="344"/>
      <c r="Q46" s="39">
        <f>E46+G46</f>
        <v>195</v>
      </c>
      <c r="R46" s="6">
        <f>F46+H46</f>
        <v>54849172</v>
      </c>
      <c r="S46" s="414">
        <f>R46/R50</f>
        <v>0.17444331657619638</v>
      </c>
    </row>
    <row r="47" spans="1:19" x14ac:dyDescent="0.25">
      <c r="A47" s="494" t="s">
        <v>563</v>
      </c>
      <c r="B47" s="495"/>
      <c r="C47" s="495"/>
      <c r="D47" s="496"/>
      <c r="E47" s="343">
        <v>1</v>
      </c>
      <c r="F47" s="343">
        <v>715752</v>
      </c>
      <c r="G47" s="343">
        <v>33</v>
      </c>
      <c r="H47" s="343">
        <v>95637</v>
      </c>
      <c r="I47" s="343"/>
      <c r="J47" s="343"/>
      <c r="K47" s="343"/>
      <c r="L47" s="344"/>
      <c r="M47" s="343">
        <v>2</v>
      </c>
      <c r="N47" s="344">
        <v>2028265</v>
      </c>
      <c r="O47" s="343"/>
      <c r="P47" s="344"/>
      <c r="Q47" s="39">
        <f>E47+G47+M47</f>
        <v>36</v>
      </c>
      <c r="R47" s="6">
        <f>F47+H47+N47</f>
        <v>2839654</v>
      </c>
      <c r="S47" s="414">
        <f>R47/R50</f>
        <v>9.0312878686457168E-3</v>
      </c>
    </row>
    <row r="48" spans="1:19" x14ac:dyDescent="0.25">
      <c r="A48" s="494" t="s">
        <v>562</v>
      </c>
      <c r="B48" s="495"/>
      <c r="C48" s="495"/>
      <c r="D48" s="496"/>
      <c r="E48" s="343"/>
      <c r="F48" s="343"/>
      <c r="G48" s="343"/>
      <c r="H48" s="343"/>
      <c r="I48" s="343"/>
      <c r="J48" s="343"/>
      <c r="K48" s="343"/>
      <c r="L48" s="344"/>
      <c r="M48" s="343">
        <v>5</v>
      </c>
      <c r="N48" s="344">
        <v>21322962</v>
      </c>
      <c r="O48" s="343"/>
      <c r="P48" s="344"/>
      <c r="Q48" s="39">
        <f>M48</f>
        <v>5</v>
      </c>
      <c r="R48" s="6">
        <f>N48</f>
        <v>21322962</v>
      </c>
      <c r="S48" s="414"/>
    </row>
    <row r="49" spans="1:19" ht="15.75" thickBot="1" x14ac:dyDescent="0.3">
      <c r="A49" s="506" t="s">
        <v>561</v>
      </c>
      <c r="B49" s="507"/>
      <c r="C49" s="507"/>
      <c r="D49" s="508"/>
      <c r="E49" s="346"/>
      <c r="F49" s="346"/>
      <c r="G49" s="346"/>
      <c r="H49" s="346"/>
      <c r="I49" s="346">
        <v>86</v>
      </c>
      <c r="J49" s="346">
        <v>16661117</v>
      </c>
      <c r="K49" s="346"/>
      <c r="L49" s="347"/>
      <c r="M49" s="346"/>
      <c r="N49" s="347"/>
      <c r="O49" s="346"/>
      <c r="P49" s="347"/>
      <c r="Q49" s="41">
        <f>I49</f>
        <v>86</v>
      </c>
      <c r="R49" s="40">
        <f>J49</f>
        <v>16661117</v>
      </c>
      <c r="S49" s="415">
        <f>R49/R50</f>
        <v>5.2989323290861111E-2</v>
      </c>
    </row>
    <row r="50" spans="1:19" ht="15.75" thickTop="1" x14ac:dyDescent="0.25">
      <c r="A50" s="505" t="s">
        <v>19</v>
      </c>
      <c r="B50" s="505"/>
      <c r="C50" s="505"/>
      <c r="D50" s="505"/>
      <c r="E50" s="42">
        <f>SUM(E40:E49)</f>
        <v>158</v>
      </c>
      <c r="F50" s="42">
        <f>SUM(F40:F49)</f>
        <v>54899247</v>
      </c>
      <c r="G50" s="348">
        <f>SUM(G40:G49)</f>
        <v>97</v>
      </c>
      <c r="H50" s="348">
        <f>SUM(H40:H49)</f>
        <v>2177695</v>
      </c>
      <c r="I50" s="42">
        <f>SUM(I49)</f>
        <v>86</v>
      </c>
      <c r="J50" s="42">
        <f>SUM(J49)</f>
        <v>16661117</v>
      </c>
      <c r="K50" s="42">
        <f>SUM(K40:K49)</f>
        <v>1</v>
      </c>
      <c r="L50" s="43">
        <f>SUM(L40:L49)</f>
        <v>41211453</v>
      </c>
      <c r="M50" s="42">
        <f>SUM(M40:M49)</f>
        <v>8</v>
      </c>
      <c r="N50" s="43">
        <f>SUM(N40:N49)</f>
        <v>64474526</v>
      </c>
      <c r="O50" s="42">
        <f>SUM(O43:O49)</f>
        <v>2</v>
      </c>
      <c r="P50" s="43">
        <f>SUM(P43:P49)</f>
        <v>135000000</v>
      </c>
      <c r="Q50" s="44">
        <f>SUM(Q40:Q49)</f>
        <v>352</v>
      </c>
      <c r="R50" s="42">
        <f>SUM(R40:R49)</f>
        <v>314424038</v>
      </c>
      <c r="S50" s="416">
        <f>SUM(S40:S49)</f>
        <v>0.80074628390848424</v>
      </c>
    </row>
    <row r="51" spans="1:19" x14ac:dyDescent="0.25">
      <c r="H51" s="24"/>
    </row>
    <row r="52" spans="1:19" x14ac:dyDescent="0.25">
      <c r="A52" s="307" t="s">
        <v>510</v>
      </c>
    </row>
    <row r="53" spans="1:19" x14ac:dyDescent="0.25">
      <c r="R53" s="24"/>
    </row>
    <row r="54" spans="1:19" ht="75" x14ac:dyDescent="0.25">
      <c r="A54" s="491"/>
      <c r="B54" s="491"/>
      <c r="C54" s="491"/>
      <c r="D54" s="491"/>
      <c r="E54" s="491"/>
      <c r="F54" s="491"/>
      <c r="G54" s="342" t="s">
        <v>24</v>
      </c>
      <c r="H54" s="342" t="s">
        <v>25</v>
      </c>
      <c r="I54" s="342" t="s">
        <v>26</v>
      </c>
      <c r="J54" s="342" t="s">
        <v>27</v>
      </c>
      <c r="K54" s="342" t="s">
        <v>429</v>
      </c>
      <c r="L54" s="342" t="s">
        <v>470</v>
      </c>
      <c r="M54" s="404" t="s">
        <v>511</v>
      </c>
    </row>
    <row r="55" spans="1:19" x14ac:dyDescent="0.25">
      <c r="A55" s="434" t="s">
        <v>683</v>
      </c>
      <c r="B55" s="434"/>
      <c r="C55" s="434"/>
      <c r="D55" s="434"/>
      <c r="E55" s="434"/>
      <c r="F55" s="434"/>
      <c r="G55" s="6">
        <v>281020028</v>
      </c>
      <c r="H55" s="6">
        <v>22481375</v>
      </c>
      <c r="I55" s="6">
        <v>229558777</v>
      </c>
      <c r="J55" s="6">
        <v>102811677</v>
      </c>
      <c r="K55" s="6">
        <v>100111710</v>
      </c>
      <c r="L55" s="6">
        <v>276439959</v>
      </c>
      <c r="M55" s="62">
        <f>(L55-K55)/K55</f>
        <v>1.761314925097174</v>
      </c>
    </row>
    <row r="56" spans="1:19" x14ac:dyDescent="0.25">
      <c r="A56" s="434" t="s">
        <v>569</v>
      </c>
      <c r="B56" s="434"/>
      <c r="C56" s="434"/>
      <c r="D56" s="434"/>
      <c r="E56" s="434"/>
      <c r="F56" s="434"/>
      <c r="G56" s="349"/>
      <c r="H56" s="349"/>
      <c r="I56" s="349"/>
      <c r="J56" s="349"/>
      <c r="K56" s="349"/>
      <c r="L56" s="6">
        <v>21322962</v>
      </c>
      <c r="M56" s="62">
        <v>0</v>
      </c>
    </row>
    <row r="57" spans="1:19" x14ac:dyDescent="0.25">
      <c r="A57" s="434" t="s">
        <v>684</v>
      </c>
      <c r="B57" s="434"/>
      <c r="C57" s="434"/>
      <c r="D57" s="434"/>
      <c r="E57" s="434"/>
      <c r="F57" s="434"/>
      <c r="G57" s="6">
        <v>26892277</v>
      </c>
      <c r="H57" s="6">
        <v>27461426</v>
      </c>
      <c r="I57" s="6">
        <v>38944180</v>
      </c>
      <c r="J57" s="6">
        <v>23704458</v>
      </c>
      <c r="K57" s="6">
        <v>21267963</v>
      </c>
      <c r="L57" s="6">
        <v>16661117</v>
      </c>
      <c r="M57" s="62">
        <f>(L57-K57)/K57</f>
        <v>-0.21660964898236845</v>
      </c>
    </row>
    <row r="58" spans="1:19" x14ac:dyDescent="0.25">
      <c r="A58" s="434" t="s">
        <v>685</v>
      </c>
      <c r="B58" s="434"/>
      <c r="C58" s="434"/>
      <c r="D58" s="434"/>
      <c r="E58" s="434"/>
      <c r="F58" s="434"/>
      <c r="G58" s="6">
        <v>4460635</v>
      </c>
      <c r="H58" s="6">
        <v>325817</v>
      </c>
      <c r="I58" s="6">
        <v>1490641</v>
      </c>
      <c r="J58" s="6">
        <v>571176</v>
      </c>
      <c r="K58" s="6">
        <v>565603</v>
      </c>
      <c r="L58" s="6">
        <v>1059157</v>
      </c>
      <c r="M58" s="62">
        <f>(L58-K58)/K58</f>
        <v>0.8726155978663479</v>
      </c>
    </row>
    <row r="59" spans="1:19" x14ac:dyDescent="0.25">
      <c r="A59" s="434" t="s">
        <v>571</v>
      </c>
      <c r="B59" s="434"/>
      <c r="C59" s="434"/>
      <c r="D59" s="434"/>
      <c r="E59" s="434"/>
      <c r="F59" s="434"/>
      <c r="G59" s="349"/>
      <c r="H59" s="349"/>
      <c r="I59" s="349"/>
      <c r="J59" s="349"/>
      <c r="K59" s="349"/>
      <c r="L59" s="6">
        <v>4264592</v>
      </c>
      <c r="M59" s="62">
        <v>0</v>
      </c>
    </row>
    <row r="60" spans="1:19" x14ac:dyDescent="0.25">
      <c r="A60" s="434" t="s">
        <v>686</v>
      </c>
      <c r="B60" s="434"/>
      <c r="C60" s="434"/>
      <c r="D60" s="434"/>
      <c r="E60" s="434"/>
      <c r="F60" s="434"/>
      <c r="G60" s="6">
        <v>3361535</v>
      </c>
      <c r="H60" s="6">
        <v>2288452</v>
      </c>
      <c r="I60" s="6">
        <v>3894418</v>
      </c>
      <c r="J60" s="6">
        <v>2963057</v>
      </c>
      <c r="K60" s="6">
        <v>308231</v>
      </c>
      <c r="L60" s="6">
        <v>193734</v>
      </c>
      <c r="M60" s="62">
        <f>(L60-K60)/K60</f>
        <v>-0.37146490781264702</v>
      </c>
    </row>
    <row r="62" spans="1:19" x14ac:dyDescent="0.25">
      <c r="I62" s="24"/>
    </row>
  </sheetData>
  <mergeCells count="50">
    <mergeCell ref="A57:F57"/>
    <mergeCell ref="A58:F58"/>
    <mergeCell ref="A60:F60"/>
    <mergeCell ref="A50:D50"/>
    <mergeCell ref="A42:D42"/>
    <mergeCell ref="A44:D44"/>
    <mergeCell ref="A43:D43"/>
    <mergeCell ref="A48:D48"/>
    <mergeCell ref="A47:D47"/>
    <mergeCell ref="A45:D45"/>
    <mergeCell ref="A56:F56"/>
    <mergeCell ref="A59:F59"/>
    <mergeCell ref="A55:F55"/>
    <mergeCell ref="A54:F54"/>
    <mergeCell ref="A49:D49"/>
    <mergeCell ref="A46:D46"/>
    <mergeCell ref="A41:D41"/>
    <mergeCell ref="A40:D40"/>
    <mergeCell ref="T3:V3"/>
    <mergeCell ref="Q3:S3"/>
    <mergeCell ref="Q38:R38"/>
    <mergeCell ref="K38:L38"/>
    <mergeCell ref="B3:D3"/>
    <mergeCell ref="E3:G3"/>
    <mergeCell ref="N3:P3"/>
    <mergeCell ref="B14:E14"/>
    <mergeCell ref="A3:A4"/>
    <mergeCell ref="K3:M3"/>
    <mergeCell ref="J25:L25"/>
    <mergeCell ref="G25:I25"/>
    <mergeCell ref="D25:F25"/>
    <mergeCell ref="A14:A15"/>
    <mergeCell ref="W3:W4"/>
    <mergeCell ref="A33:C33"/>
    <mergeCell ref="A34:C34"/>
    <mergeCell ref="A25:C26"/>
    <mergeCell ref="A27:C27"/>
    <mergeCell ref="A28:C28"/>
    <mergeCell ref="H3:J3"/>
    <mergeCell ref="S38:S39"/>
    <mergeCell ref="A38:D39"/>
    <mergeCell ref="E38:F38"/>
    <mergeCell ref="A29:C29"/>
    <mergeCell ref="M38:N38"/>
    <mergeCell ref="O38:P38"/>
    <mergeCell ref="A30:C30"/>
    <mergeCell ref="A31:C31"/>
    <mergeCell ref="A32:C32"/>
    <mergeCell ref="G38:H38"/>
    <mergeCell ref="I38:J38"/>
  </mergeCells>
  <conditionalFormatting sqref="S12:S14">
    <cfRule type="iconSet" priority="25">
      <iconSet iconSet="3Arrows">
        <cfvo type="percent" val="0"/>
        <cfvo type="percent" val="33"/>
        <cfvo type="percent" val="67"/>
      </iconSet>
    </cfRule>
    <cfRule type="top10" dxfId="15" priority="26" percent="1" rank="10"/>
  </conditionalFormatting>
  <conditionalFormatting sqref="T12:T14">
    <cfRule type="iconSet" priority="27">
      <iconSet iconSet="3Arrows">
        <cfvo type="percent" val="0"/>
        <cfvo type="percent" val="33"/>
        <cfvo type="percent" val="67"/>
      </iconSet>
    </cfRule>
    <cfRule type="top10" dxfId="14" priority="28" percent="1" rank="10"/>
  </conditionalFormatting>
  <conditionalFormatting sqref="U12:U14">
    <cfRule type="iconSet" priority="29">
      <iconSet iconSet="3Arrows">
        <cfvo type="percent" val="0"/>
        <cfvo type="percent" val="33"/>
        <cfvo type="percent" val="67"/>
      </iconSet>
    </cfRule>
    <cfRule type="top10" dxfId="13" priority="30" percent="1" rank="10"/>
  </conditionalFormatting>
  <conditionalFormatting sqref="T5:T10">
    <cfRule type="iconSet" priority="8">
      <iconSet iconSet="3Arrows">
        <cfvo type="percent" val="0"/>
        <cfvo type="percent" val="33"/>
        <cfvo type="percent" val="67"/>
      </iconSet>
    </cfRule>
    <cfRule type="top10" dxfId="12" priority="9" percent="1" rank="10"/>
  </conditionalFormatting>
  <conditionalFormatting sqref="U5:U10">
    <cfRule type="iconSet" priority="6">
      <iconSet iconSet="3Arrows">
        <cfvo type="percent" val="0"/>
        <cfvo type="percent" val="33"/>
        <cfvo type="percent" val="67"/>
      </iconSet>
    </cfRule>
    <cfRule type="top10" dxfId="11" priority="7" percent="1" rank="10"/>
  </conditionalFormatting>
  <conditionalFormatting sqref="V5:V10">
    <cfRule type="iconSet" priority="4">
      <iconSet iconSet="3Arrows">
        <cfvo type="percent" val="0"/>
        <cfvo type="percent" val="33"/>
        <cfvo type="percent" val="67"/>
      </iconSet>
    </cfRule>
    <cfRule type="top10" dxfId="10" priority="5" percent="1" rank="10"/>
  </conditionalFormatting>
  <conditionalFormatting sqref="W5:W10">
    <cfRule type="top10" dxfId="9" priority="3" percent="1" rank="10"/>
  </conditionalFormatting>
  <conditionalFormatting sqref="M55:M57">
    <cfRule type="top10" dxfId="8" priority="2" percent="1" rank="10"/>
  </conditionalFormatting>
  <conditionalFormatting sqref="M58:M60">
    <cfRule type="top10" dxfId="7" priority="1" percent="1" rank="10"/>
  </conditionalFormatting>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4"/>
  <sheetViews>
    <sheetView topLeftCell="A19" workbookViewId="0">
      <selection activeCell="H46" sqref="H46"/>
    </sheetView>
  </sheetViews>
  <sheetFormatPr defaultRowHeight="15" x14ac:dyDescent="0.25"/>
  <cols>
    <col min="3" max="3" width="12" bestFit="1" customWidth="1"/>
    <col min="4" max="4" width="15.5703125" bestFit="1" customWidth="1"/>
    <col min="5" max="5" width="11.140625" bestFit="1" customWidth="1"/>
    <col min="6" max="6" width="9.7109375" bestFit="1" customWidth="1"/>
  </cols>
  <sheetData>
    <row r="1" spans="1:6" x14ac:dyDescent="0.25">
      <c r="A1" s="307" t="s">
        <v>512</v>
      </c>
    </row>
    <row r="3" spans="1:6" ht="75" x14ac:dyDescent="0.25">
      <c r="A3" s="195"/>
      <c r="B3" s="192" t="s">
        <v>578</v>
      </c>
      <c r="C3" s="175" t="s">
        <v>148</v>
      </c>
      <c r="D3" s="175" t="s">
        <v>151</v>
      </c>
      <c r="E3" s="175" t="s">
        <v>153</v>
      </c>
      <c r="F3" s="34"/>
    </row>
    <row r="4" spans="1:6" x14ac:dyDescent="0.25">
      <c r="A4" s="2">
        <v>2012</v>
      </c>
      <c r="B4" s="22"/>
      <c r="C4" s="2">
        <v>71</v>
      </c>
      <c r="D4" s="18">
        <v>307.912305</v>
      </c>
      <c r="E4" s="18">
        <f t="shared" ref="E4:E9" si="0">D4/C4</f>
        <v>4.3367930281690139</v>
      </c>
      <c r="F4" s="35"/>
    </row>
    <row r="5" spans="1:6" x14ac:dyDescent="0.25">
      <c r="A5" s="2">
        <v>2013</v>
      </c>
      <c r="B5" s="22"/>
      <c r="C5" s="2">
        <v>81</v>
      </c>
      <c r="D5" s="18">
        <v>50.011688999999997</v>
      </c>
      <c r="E5" s="18">
        <f t="shared" si="0"/>
        <v>0.61742825925925926</v>
      </c>
      <c r="F5" s="35"/>
    </row>
    <row r="6" spans="1:6" x14ac:dyDescent="0.25">
      <c r="A6" s="2">
        <v>2014</v>
      </c>
      <c r="B6" s="22">
        <v>41</v>
      </c>
      <c r="C6" s="2">
        <v>164</v>
      </c>
      <c r="D6" s="18">
        <v>268.50295699999998</v>
      </c>
      <c r="E6" s="18">
        <f t="shared" si="0"/>
        <v>1.6372131524390243</v>
      </c>
      <c r="F6" s="35"/>
    </row>
    <row r="7" spans="1:6" x14ac:dyDescent="0.25">
      <c r="A7" s="2">
        <v>2015</v>
      </c>
      <c r="B7" s="22">
        <v>43</v>
      </c>
      <c r="C7" s="2">
        <v>188</v>
      </c>
      <c r="D7" s="32">
        <v>126.51613500000001</v>
      </c>
      <c r="E7" s="18">
        <f t="shared" si="0"/>
        <v>0.67295816489361704</v>
      </c>
      <c r="F7" s="35"/>
    </row>
    <row r="8" spans="1:6" x14ac:dyDescent="0.25">
      <c r="A8" s="111">
        <v>2016</v>
      </c>
      <c r="B8" s="2">
        <v>48</v>
      </c>
      <c r="C8" s="111">
        <v>246</v>
      </c>
      <c r="D8" s="18">
        <v>121.4</v>
      </c>
      <c r="E8" s="32">
        <f t="shared" si="0"/>
        <v>0.49349593495934962</v>
      </c>
      <c r="F8" s="36"/>
    </row>
    <row r="9" spans="1:6" x14ac:dyDescent="0.25">
      <c r="A9" s="111">
        <v>2017</v>
      </c>
      <c r="B9" s="2">
        <v>50</v>
      </c>
      <c r="C9" s="2">
        <v>352</v>
      </c>
      <c r="D9" s="32">
        <v>314.424038</v>
      </c>
      <c r="E9" s="167">
        <f t="shared" si="0"/>
        <v>0.8932501079545454</v>
      </c>
      <c r="F9" s="36"/>
    </row>
    <row r="10" spans="1:6" x14ac:dyDescent="0.25">
      <c r="A10" s="16"/>
      <c r="B10" s="16"/>
      <c r="C10" s="16"/>
      <c r="F10" s="37"/>
    </row>
    <row r="11" spans="1:6" x14ac:dyDescent="0.25">
      <c r="A11" s="16"/>
      <c r="B11" s="16"/>
      <c r="C11" s="16"/>
    </row>
    <row r="16" spans="1:6" x14ac:dyDescent="0.25">
      <c r="A16" s="307" t="s">
        <v>146</v>
      </c>
    </row>
    <row r="18" spans="1:7" ht="120" x14ac:dyDescent="0.25">
      <c r="A18" s="196"/>
      <c r="B18" s="194" t="s">
        <v>687</v>
      </c>
      <c r="C18" s="340" t="s">
        <v>155</v>
      </c>
      <c r="G18" s="16"/>
    </row>
    <row r="19" spans="1:7" x14ac:dyDescent="0.25">
      <c r="A19" s="33">
        <v>2012</v>
      </c>
      <c r="B19" s="304">
        <v>0.17100000000000001</v>
      </c>
      <c r="C19" s="350">
        <v>1804.590796</v>
      </c>
      <c r="G19" s="25"/>
    </row>
    <row r="20" spans="1:7" x14ac:dyDescent="0.25">
      <c r="A20" s="33">
        <v>2013</v>
      </c>
      <c r="B20" s="304">
        <v>3.7999999999999999E-2</v>
      </c>
      <c r="C20" s="350">
        <v>1305.1158720000001</v>
      </c>
      <c r="G20" s="25"/>
    </row>
    <row r="21" spans="1:7" x14ac:dyDescent="0.25">
      <c r="A21" s="33">
        <v>2014</v>
      </c>
      <c r="B21" s="304">
        <v>0.16400000000000001</v>
      </c>
      <c r="C21" s="350">
        <v>1632.9772359999999</v>
      </c>
      <c r="G21" s="25"/>
    </row>
    <row r="22" spans="1:7" x14ac:dyDescent="0.25">
      <c r="A22" s="33">
        <v>2015</v>
      </c>
      <c r="B22" s="304">
        <v>9.8000000000000004E-2</v>
      </c>
      <c r="C22" s="350">
        <v>1296.767325</v>
      </c>
      <c r="G22" s="25"/>
    </row>
    <row r="23" spans="1:7" x14ac:dyDescent="0.25">
      <c r="A23" s="268">
        <v>2016</v>
      </c>
      <c r="B23" s="304">
        <v>7.9000000000000001E-2</v>
      </c>
      <c r="C23" s="350">
        <v>1529.6</v>
      </c>
    </row>
    <row r="24" spans="1:7" x14ac:dyDescent="0.25">
      <c r="A24" s="268">
        <v>2017</v>
      </c>
      <c r="B24" s="304">
        <v>0.254</v>
      </c>
      <c r="C24" s="350">
        <v>1237.5999999999999</v>
      </c>
    </row>
    <row r="26" spans="1:7" x14ac:dyDescent="0.25">
      <c r="A26" s="307" t="s">
        <v>572</v>
      </c>
    </row>
    <row r="28" spans="1:7" ht="75" x14ac:dyDescent="0.25">
      <c r="A28" s="193"/>
      <c r="B28" s="342" t="s">
        <v>573</v>
      </c>
      <c r="C28" s="342" t="s">
        <v>574</v>
      </c>
      <c r="D28" s="342" t="s">
        <v>575</v>
      </c>
      <c r="E28" s="340" t="s">
        <v>161</v>
      </c>
      <c r="F28" s="340" t="s">
        <v>576</v>
      </c>
      <c r="G28" s="340" t="s">
        <v>577</v>
      </c>
    </row>
    <row r="29" spans="1:7" x14ac:dyDescent="0.25">
      <c r="A29" s="60" t="s">
        <v>24</v>
      </c>
      <c r="B29" s="61">
        <v>281</v>
      </c>
      <c r="C29" s="351"/>
      <c r="D29" s="61">
        <v>26.9</v>
      </c>
      <c r="E29" s="62">
        <v>1.6E-2</v>
      </c>
      <c r="F29" s="351"/>
      <c r="G29" s="62">
        <v>0.125</v>
      </c>
    </row>
    <row r="30" spans="1:7" x14ac:dyDescent="0.25">
      <c r="A30" s="60" t="s">
        <v>25</v>
      </c>
      <c r="B30" s="61">
        <v>22.5</v>
      </c>
      <c r="C30" s="351"/>
      <c r="D30" s="61">
        <v>27.5</v>
      </c>
      <c r="E30" s="62">
        <v>1.4E-2</v>
      </c>
      <c r="F30" s="351"/>
      <c r="G30" s="62">
        <v>8.3000000000000004E-2</v>
      </c>
    </row>
    <row r="31" spans="1:7" x14ac:dyDescent="0.25">
      <c r="A31" s="60" t="s">
        <v>26</v>
      </c>
      <c r="B31" s="61">
        <v>229.6</v>
      </c>
      <c r="C31" s="351"/>
      <c r="D31" s="61">
        <v>38.9</v>
      </c>
      <c r="E31" s="62">
        <v>6.0000000000000001E-3</v>
      </c>
      <c r="F31" s="351"/>
      <c r="G31" s="62">
        <v>0.1</v>
      </c>
    </row>
    <row r="32" spans="1:7" x14ac:dyDescent="0.25">
      <c r="A32" s="60" t="s">
        <v>27</v>
      </c>
      <c r="B32" s="61">
        <v>102.8</v>
      </c>
      <c r="C32" s="351"/>
      <c r="D32" s="61">
        <v>23.7</v>
      </c>
      <c r="E32" s="62">
        <v>6.0000000000000001E-3</v>
      </c>
      <c r="F32" s="351"/>
      <c r="G32" s="8">
        <v>0.125</v>
      </c>
    </row>
    <row r="33" spans="1:7" x14ac:dyDescent="0.25">
      <c r="A33" s="60" t="s">
        <v>429</v>
      </c>
      <c r="B33" s="61">
        <v>100.1</v>
      </c>
      <c r="C33" s="351"/>
      <c r="D33" s="61">
        <v>21.3</v>
      </c>
      <c r="E33" s="62">
        <v>6.0000000000000001E-3</v>
      </c>
      <c r="F33" s="351"/>
      <c r="G33" s="62">
        <v>1.3999999999999999E-2</v>
      </c>
    </row>
    <row r="34" spans="1:7" x14ac:dyDescent="0.25">
      <c r="A34" s="60" t="s">
        <v>470</v>
      </c>
      <c r="B34" s="167">
        <v>276.43995899999999</v>
      </c>
      <c r="C34" s="167">
        <v>21.322962</v>
      </c>
      <c r="D34" s="167">
        <v>16.661117000000001</v>
      </c>
      <c r="E34" s="8">
        <v>1.7609999999999999</v>
      </c>
      <c r="F34" s="8">
        <v>0</v>
      </c>
      <c r="G34" s="8">
        <v>-0.217</v>
      </c>
    </row>
  </sheetData>
  <conditionalFormatting sqref="B4:B11">
    <cfRule type="iconSet" priority="7">
      <iconSet iconSet="3Arrows">
        <cfvo type="percent" val="0"/>
        <cfvo type="percent" val="33"/>
        <cfvo type="percent" val="67"/>
      </iconSet>
    </cfRule>
    <cfRule type="top10" dxfId="6" priority="8" percent="1" rank="10"/>
  </conditionalFormatting>
  <conditionalFormatting sqref="C4:C11">
    <cfRule type="iconSet" priority="5">
      <iconSet iconSet="3Arrows">
        <cfvo type="percent" val="0"/>
        <cfvo type="percent" val="33"/>
        <cfvo type="percent" val="67"/>
      </iconSet>
    </cfRule>
    <cfRule type="top10" dxfId="5" priority="6" percent="1" rank="10"/>
  </conditionalFormatting>
  <conditionalFormatting sqref="D4:D9">
    <cfRule type="iconSet" priority="1">
      <iconSet iconSet="3Arrows">
        <cfvo type="percent" val="0"/>
        <cfvo type="percent" val="33"/>
        <cfvo type="percent" val="67"/>
      </iconSet>
    </cfRule>
    <cfRule type="top10" dxfId="4" priority="2" percent="1" rank="10"/>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71"/>
  <sheetViews>
    <sheetView workbookViewId="0">
      <selection activeCell="K68" sqref="K68"/>
    </sheetView>
  </sheetViews>
  <sheetFormatPr defaultRowHeight="15" x14ac:dyDescent="0.25"/>
  <cols>
    <col min="1" max="1" width="4.7109375" customWidth="1"/>
    <col min="2" max="2" width="38.28515625" customWidth="1"/>
  </cols>
  <sheetData>
    <row r="1" spans="1:5" x14ac:dyDescent="0.25">
      <c r="A1" s="510" t="s">
        <v>513</v>
      </c>
      <c r="B1" s="510"/>
      <c r="C1" s="510"/>
      <c r="D1" s="510"/>
      <c r="E1" s="510"/>
    </row>
    <row r="3" spans="1:5" x14ac:dyDescent="0.25">
      <c r="A3" s="2" t="s">
        <v>41</v>
      </c>
      <c r="B3" s="333" t="s">
        <v>415</v>
      </c>
    </row>
    <row r="4" spans="1:5" x14ac:dyDescent="0.25">
      <c r="A4" s="2" t="s">
        <v>91</v>
      </c>
      <c r="B4" s="333" t="s">
        <v>48</v>
      </c>
    </row>
    <row r="5" spans="1:5" x14ac:dyDescent="0.25">
      <c r="A5" s="2" t="s">
        <v>92</v>
      </c>
      <c r="B5" s="333" t="s">
        <v>49</v>
      </c>
    </row>
    <row r="6" spans="1:5" x14ac:dyDescent="0.25">
      <c r="A6" s="2" t="s">
        <v>93</v>
      </c>
      <c r="B6" s="332" t="s">
        <v>50</v>
      </c>
    </row>
    <row r="7" spans="1:5" x14ac:dyDescent="0.25">
      <c r="A7" s="2" t="s">
        <v>94</v>
      </c>
      <c r="B7" s="335" t="s">
        <v>51</v>
      </c>
    </row>
    <row r="8" spans="1:5" x14ac:dyDescent="0.25">
      <c r="A8" s="2" t="s">
        <v>95</v>
      </c>
      <c r="B8" s="332" t="s">
        <v>52</v>
      </c>
    </row>
    <row r="9" spans="1:5" x14ac:dyDescent="0.25">
      <c r="A9" s="2" t="s">
        <v>96</v>
      </c>
      <c r="B9" s="333" t="s">
        <v>53</v>
      </c>
    </row>
    <row r="10" spans="1:5" x14ac:dyDescent="0.25">
      <c r="A10" s="2" t="s">
        <v>97</v>
      </c>
      <c r="B10" s="333" t="s">
        <v>145</v>
      </c>
    </row>
    <row r="11" spans="1:5" x14ac:dyDescent="0.25">
      <c r="A11" s="2" t="s">
        <v>98</v>
      </c>
      <c r="B11" s="335" t="s">
        <v>413</v>
      </c>
    </row>
    <row r="12" spans="1:5" x14ac:dyDescent="0.25">
      <c r="A12" s="2" t="s">
        <v>99</v>
      </c>
      <c r="B12" s="332" t="s">
        <v>54</v>
      </c>
    </row>
    <row r="13" spans="1:5" x14ac:dyDescent="0.25">
      <c r="A13" s="2" t="s">
        <v>100</v>
      </c>
      <c r="B13" s="332" t="s">
        <v>55</v>
      </c>
    </row>
    <row r="14" spans="1:5" x14ac:dyDescent="0.25">
      <c r="A14" s="2" t="s">
        <v>101</v>
      </c>
      <c r="B14" s="332" t="s">
        <v>56</v>
      </c>
    </row>
    <row r="15" spans="1:5" x14ac:dyDescent="0.25">
      <c r="A15" s="2" t="s">
        <v>102</v>
      </c>
      <c r="B15" s="332" t="s">
        <v>57</v>
      </c>
    </row>
    <row r="16" spans="1:5" x14ac:dyDescent="0.25">
      <c r="A16" s="2" t="s">
        <v>103</v>
      </c>
      <c r="B16" s="334" t="s">
        <v>416</v>
      </c>
    </row>
    <row r="17" spans="1:2" x14ac:dyDescent="0.25">
      <c r="A17" s="2" t="s">
        <v>104</v>
      </c>
      <c r="B17" s="333" t="s">
        <v>58</v>
      </c>
    </row>
    <row r="18" spans="1:2" x14ac:dyDescent="0.25">
      <c r="A18" s="2" t="s">
        <v>105</v>
      </c>
      <c r="B18" s="336" t="s">
        <v>59</v>
      </c>
    </row>
    <row r="19" spans="1:2" x14ac:dyDescent="0.25">
      <c r="A19" s="2" t="s">
        <v>106</v>
      </c>
      <c r="B19" s="336" t="s">
        <v>60</v>
      </c>
    </row>
    <row r="20" spans="1:2" x14ac:dyDescent="0.25">
      <c r="A20" s="2" t="s">
        <v>107</v>
      </c>
      <c r="B20" s="336" t="s">
        <v>61</v>
      </c>
    </row>
    <row r="21" spans="1:2" x14ac:dyDescent="0.25">
      <c r="A21" s="2" t="s">
        <v>108</v>
      </c>
      <c r="B21" s="333" t="s">
        <v>62</v>
      </c>
    </row>
    <row r="22" spans="1:2" x14ac:dyDescent="0.25">
      <c r="A22" s="2" t="s">
        <v>109</v>
      </c>
      <c r="B22" s="332" t="s">
        <v>63</v>
      </c>
    </row>
    <row r="23" spans="1:2" x14ac:dyDescent="0.25">
      <c r="A23" s="2" t="s">
        <v>110</v>
      </c>
      <c r="B23" s="332" t="s">
        <v>417</v>
      </c>
    </row>
    <row r="24" spans="1:2" x14ac:dyDescent="0.25">
      <c r="A24" s="2" t="s">
        <v>111</v>
      </c>
      <c r="B24" s="333" t="s">
        <v>64</v>
      </c>
    </row>
    <row r="25" spans="1:2" x14ac:dyDescent="0.25">
      <c r="A25" s="2" t="s">
        <v>112</v>
      </c>
      <c r="B25" s="333" t="s">
        <v>65</v>
      </c>
    </row>
    <row r="26" spans="1:2" x14ac:dyDescent="0.25">
      <c r="A26" s="2" t="s">
        <v>113</v>
      </c>
      <c r="B26" s="333" t="s">
        <v>66</v>
      </c>
    </row>
    <row r="27" spans="1:2" x14ac:dyDescent="0.25">
      <c r="A27" s="2" t="s">
        <v>114</v>
      </c>
      <c r="B27" s="333" t="s">
        <v>67</v>
      </c>
    </row>
    <row r="28" spans="1:2" x14ac:dyDescent="0.25">
      <c r="A28" s="2" t="s">
        <v>115</v>
      </c>
      <c r="B28" s="333" t="s">
        <v>68</v>
      </c>
    </row>
    <row r="29" spans="1:2" x14ac:dyDescent="0.25">
      <c r="A29" s="2" t="s">
        <v>116</v>
      </c>
      <c r="B29" s="333" t="s">
        <v>69</v>
      </c>
    </row>
    <row r="30" spans="1:2" x14ac:dyDescent="0.25">
      <c r="A30" s="2" t="s">
        <v>117</v>
      </c>
      <c r="B30" s="333" t="s">
        <v>70</v>
      </c>
    </row>
    <row r="31" spans="1:2" x14ac:dyDescent="0.25">
      <c r="A31" s="2" t="s">
        <v>118</v>
      </c>
      <c r="B31" s="333" t="s">
        <v>71</v>
      </c>
    </row>
    <row r="32" spans="1:2" x14ac:dyDescent="0.25">
      <c r="A32" s="2" t="s">
        <v>119</v>
      </c>
      <c r="B32" s="333" t="s">
        <v>525</v>
      </c>
    </row>
    <row r="33" spans="1:2" x14ac:dyDescent="0.25">
      <c r="A33" s="2" t="s">
        <v>120</v>
      </c>
      <c r="B33" s="333" t="s">
        <v>72</v>
      </c>
    </row>
    <row r="34" spans="1:2" x14ac:dyDescent="0.25">
      <c r="A34" s="2" t="s">
        <v>121</v>
      </c>
      <c r="B34" s="336" t="s">
        <v>73</v>
      </c>
    </row>
    <row r="35" spans="1:2" x14ac:dyDescent="0.25">
      <c r="A35" s="2" t="s">
        <v>122</v>
      </c>
      <c r="B35" s="336" t="s">
        <v>74</v>
      </c>
    </row>
    <row r="36" spans="1:2" x14ac:dyDescent="0.25">
      <c r="A36" s="2" t="s">
        <v>123</v>
      </c>
      <c r="B36" s="332" t="s">
        <v>144</v>
      </c>
    </row>
    <row r="37" spans="1:2" x14ac:dyDescent="0.25">
      <c r="A37" s="2" t="s">
        <v>124</v>
      </c>
      <c r="B37" s="333" t="s">
        <v>75</v>
      </c>
    </row>
    <row r="38" spans="1:2" x14ac:dyDescent="0.25">
      <c r="A38" s="2" t="s">
        <v>125</v>
      </c>
      <c r="B38" s="332" t="s">
        <v>76</v>
      </c>
    </row>
    <row r="39" spans="1:2" x14ac:dyDescent="0.25">
      <c r="A39" s="2" t="s">
        <v>126</v>
      </c>
      <c r="B39" s="332" t="s">
        <v>77</v>
      </c>
    </row>
    <row r="40" spans="1:2" x14ac:dyDescent="0.25">
      <c r="A40" s="2" t="s">
        <v>127</v>
      </c>
      <c r="B40" s="332" t="s">
        <v>78</v>
      </c>
    </row>
    <row r="41" spans="1:2" x14ac:dyDescent="0.25">
      <c r="A41" s="2" t="s">
        <v>128</v>
      </c>
      <c r="B41" s="333" t="s">
        <v>79</v>
      </c>
    </row>
    <row r="42" spans="1:2" x14ac:dyDescent="0.25">
      <c r="A42" s="2" t="s">
        <v>129</v>
      </c>
      <c r="B42" s="333" t="s">
        <v>80</v>
      </c>
    </row>
    <row r="43" spans="1:2" x14ac:dyDescent="0.25">
      <c r="A43" s="2" t="s">
        <v>130</v>
      </c>
      <c r="B43" s="333" t="s">
        <v>81</v>
      </c>
    </row>
    <row r="44" spans="1:2" x14ac:dyDescent="0.25">
      <c r="A44" s="2" t="s">
        <v>131</v>
      </c>
      <c r="B44" s="333" t="s">
        <v>82</v>
      </c>
    </row>
    <row r="45" spans="1:2" x14ac:dyDescent="0.25">
      <c r="A45" s="2" t="s">
        <v>132</v>
      </c>
      <c r="B45" s="333" t="s">
        <v>83</v>
      </c>
    </row>
    <row r="46" spans="1:2" x14ac:dyDescent="0.25">
      <c r="A46" s="2" t="s">
        <v>133</v>
      </c>
      <c r="B46" s="333" t="s">
        <v>84</v>
      </c>
    </row>
    <row r="47" spans="1:2" x14ac:dyDescent="0.25">
      <c r="A47" s="2" t="s">
        <v>134</v>
      </c>
      <c r="B47" s="337" t="s">
        <v>418</v>
      </c>
    </row>
    <row r="48" spans="1:2" x14ac:dyDescent="0.25">
      <c r="A48" s="2" t="s">
        <v>135</v>
      </c>
      <c r="B48" s="333" t="s">
        <v>85</v>
      </c>
    </row>
    <row r="49" spans="1:2" x14ac:dyDescent="0.25">
      <c r="A49" s="2" t="s">
        <v>136</v>
      </c>
      <c r="B49" s="333" t="s">
        <v>86</v>
      </c>
    </row>
    <row r="50" spans="1:2" x14ac:dyDescent="0.25">
      <c r="A50" s="2" t="s">
        <v>137</v>
      </c>
      <c r="B50" s="332" t="s">
        <v>87</v>
      </c>
    </row>
    <row r="51" spans="1:2" x14ac:dyDescent="0.25">
      <c r="A51" s="2" t="s">
        <v>138</v>
      </c>
      <c r="B51" s="332" t="s">
        <v>88</v>
      </c>
    </row>
    <row r="52" spans="1:2" x14ac:dyDescent="0.25">
      <c r="A52" s="2" t="s">
        <v>139</v>
      </c>
      <c r="B52" s="332" t="s">
        <v>89</v>
      </c>
    </row>
    <row r="53" spans="1:2" x14ac:dyDescent="0.25">
      <c r="A53" s="2" t="s">
        <v>140</v>
      </c>
      <c r="B53" s="334" t="s">
        <v>524</v>
      </c>
    </row>
    <row r="54" spans="1:2" x14ac:dyDescent="0.25">
      <c r="A54" s="2" t="s">
        <v>141</v>
      </c>
      <c r="B54" s="332" t="s">
        <v>90</v>
      </c>
    </row>
    <row r="55" spans="1:2" ht="26.25" x14ac:dyDescent="0.25">
      <c r="A55" s="2" t="s">
        <v>142</v>
      </c>
      <c r="B55" s="335" t="s">
        <v>419</v>
      </c>
    </row>
    <row r="56" spans="1:2" x14ac:dyDescent="0.25">
      <c r="A56" s="2" t="s">
        <v>143</v>
      </c>
      <c r="B56" s="332" t="s">
        <v>552</v>
      </c>
    </row>
    <row r="57" spans="1:2" x14ac:dyDescent="0.25">
      <c r="A57" s="2" t="s">
        <v>422</v>
      </c>
      <c r="B57" s="332" t="s">
        <v>420</v>
      </c>
    </row>
    <row r="58" spans="1:2" x14ac:dyDescent="0.25">
      <c r="A58" s="2" t="s">
        <v>423</v>
      </c>
      <c r="B58" s="332" t="s">
        <v>421</v>
      </c>
    </row>
    <row r="59" spans="1:2" x14ac:dyDescent="0.25">
      <c r="A59" s="111" t="s">
        <v>527</v>
      </c>
      <c r="B59" s="332" t="s">
        <v>526</v>
      </c>
    </row>
    <row r="60" spans="1:2" x14ac:dyDescent="0.25">
      <c r="A60" s="111" t="s">
        <v>529</v>
      </c>
      <c r="B60" s="332" t="s">
        <v>528</v>
      </c>
    </row>
    <row r="61" spans="1:2" x14ac:dyDescent="0.25">
      <c r="A61" s="111" t="s">
        <v>531</v>
      </c>
      <c r="B61" s="332" t="s">
        <v>530</v>
      </c>
    </row>
    <row r="62" spans="1:2" x14ac:dyDescent="0.25">
      <c r="A62" s="111" t="s">
        <v>533</v>
      </c>
      <c r="B62" s="332" t="s">
        <v>532</v>
      </c>
    </row>
    <row r="63" spans="1:2" x14ac:dyDescent="0.25">
      <c r="A63" s="111" t="s">
        <v>535</v>
      </c>
      <c r="B63" s="332" t="s">
        <v>534</v>
      </c>
    </row>
    <row r="64" spans="1:2" x14ac:dyDescent="0.25">
      <c r="A64" s="111" t="s">
        <v>537</v>
      </c>
      <c r="B64" s="332" t="s">
        <v>536</v>
      </c>
    </row>
    <row r="65" spans="1:2" x14ac:dyDescent="0.25">
      <c r="A65" s="111" t="s">
        <v>538</v>
      </c>
      <c r="B65" s="332" t="s">
        <v>539</v>
      </c>
    </row>
    <row r="66" spans="1:2" x14ac:dyDescent="0.25">
      <c r="A66" s="111" t="s">
        <v>541</v>
      </c>
      <c r="B66" s="332" t="s">
        <v>540</v>
      </c>
    </row>
    <row r="67" spans="1:2" x14ac:dyDescent="0.25">
      <c r="A67" s="111" t="s">
        <v>543</v>
      </c>
      <c r="B67" s="332" t="s">
        <v>542</v>
      </c>
    </row>
    <row r="68" spans="1:2" x14ac:dyDescent="0.25">
      <c r="A68" s="111" t="s">
        <v>545</v>
      </c>
      <c r="B68" s="332" t="s">
        <v>544</v>
      </c>
    </row>
    <row r="69" spans="1:2" x14ac:dyDescent="0.25">
      <c r="A69" s="111" t="s">
        <v>547</v>
      </c>
      <c r="B69" s="332" t="s">
        <v>546</v>
      </c>
    </row>
    <row r="70" spans="1:2" x14ac:dyDescent="0.25">
      <c r="A70" s="111" t="s">
        <v>549</v>
      </c>
      <c r="B70" s="332" t="s">
        <v>548</v>
      </c>
    </row>
    <row r="71" spans="1:2" x14ac:dyDescent="0.25">
      <c r="A71" s="111" t="s">
        <v>551</v>
      </c>
      <c r="B71" s="332" t="s">
        <v>550</v>
      </c>
    </row>
  </sheetData>
  <mergeCells count="1">
    <mergeCell ref="A1:E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
  <sheetViews>
    <sheetView workbookViewId="0">
      <selection activeCell="B19" sqref="B19"/>
    </sheetView>
  </sheetViews>
  <sheetFormatPr defaultRowHeight="15" x14ac:dyDescent="0.25"/>
  <cols>
    <col min="1" max="1" width="6.140625" customWidth="1"/>
    <col min="2" max="2" width="34.5703125" customWidth="1"/>
    <col min="3" max="3" width="7.140625" customWidth="1"/>
    <col min="4" max="4" width="8.85546875" customWidth="1"/>
    <col min="5" max="5" width="10.85546875" bestFit="1" customWidth="1"/>
    <col min="6" max="6" width="9.85546875" bestFit="1" customWidth="1"/>
    <col min="7" max="8" width="10.85546875" bestFit="1" customWidth="1"/>
  </cols>
  <sheetData>
    <row r="1" spans="1:8" ht="28.5" customHeight="1" x14ac:dyDescent="0.25">
      <c r="A1" s="456" t="s">
        <v>566</v>
      </c>
      <c r="B1" s="456"/>
      <c r="C1" s="456"/>
      <c r="D1" s="456"/>
      <c r="E1" s="456"/>
      <c r="F1" s="456"/>
    </row>
    <row r="3" spans="1:8" ht="120" x14ac:dyDescent="0.25">
      <c r="A3" s="94" t="s">
        <v>216</v>
      </c>
      <c r="B3" s="264" t="s">
        <v>217</v>
      </c>
      <c r="C3" s="95" t="s">
        <v>5</v>
      </c>
      <c r="D3" s="95" t="s">
        <v>427</v>
      </c>
      <c r="E3" s="95" t="s">
        <v>6</v>
      </c>
      <c r="F3" s="95" t="s">
        <v>428</v>
      </c>
    </row>
    <row r="4" spans="1:8" x14ac:dyDescent="0.25">
      <c r="A4" s="63"/>
      <c r="B4" s="109" t="s">
        <v>12</v>
      </c>
      <c r="C4" s="63"/>
      <c r="D4" s="63"/>
      <c r="E4" s="63"/>
      <c r="F4" s="63"/>
      <c r="H4" s="24"/>
    </row>
    <row r="5" spans="1:8" x14ac:dyDescent="0.25">
      <c r="A5" s="2" t="s">
        <v>41</v>
      </c>
      <c r="B5" s="2" t="s">
        <v>218</v>
      </c>
      <c r="C5" s="60">
        <v>1</v>
      </c>
      <c r="D5" s="60">
        <v>1</v>
      </c>
      <c r="E5" s="142">
        <v>2000000</v>
      </c>
      <c r="F5" s="142">
        <f>E5/D5</f>
        <v>2000000</v>
      </c>
    </row>
    <row r="6" spans="1:8" x14ac:dyDescent="0.25">
      <c r="A6" s="2" t="s">
        <v>91</v>
      </c>
      <c r="B6" s="2" t="s">
        <v>555</v>
      </c>
      <c r="C6" s="60">
        <v>2</v>
      </c>
      <c r="D6" s="60">
        <v>5</v>
      </c>
      <c r="E6" s="142">
        <v>14023874</v>
      </c>
      <c r="F6" s="142">
        <f>E6/D6</f>
        <v>2804774.8</v>
      </c>
    </row>
    <row r="7" spans="1:8" x14ac:dyDescent="0.25">
      <c r="A7" s="2" t="s">
        <v>92</v>
      </c>
      <c r="B7" s="2" t="s">
        <v>556</v>
      </c>
      <c r="C7" s="60">
        <v>1</v>
      </c>
      <c r="D7" s="60">
        <v>1</v>
      </c>
      <c r="E7" s="142">
        <v>900000</v>
      </c>
      <c r="F7" s="142">
        <f>E7/D7</f>
        <v>900000</v>
      </c>
    </row>
    <row r="8" spans="1:8" x14ac:dyDescent="0.25">
      <c r="A8" s="2" t="s">
        <v>93</v>
      </c>
      <c r="B8" s="2" t="s">
        <v>219</v>
      </c>
      <c r="C8" s="60">
        <v>1</v>
      </c>
      <c r="D8" s="60">
        <v>1</v>
      </c>
      <c r="E8" s="142">
        <v>1296166</v>
      </c>
      <c r="F8" s="142">
        <f>E8/D8</f>
        <v>1296166</v>
      </c>
      <c r="G8" s="24"/>
    </row>
    <row r="9" spans="1:8" x14ac:dyDescent="0.25">
      <c r="A9" s="63"/>
      <c r="B9" s="109" t="s">
        <v>13</v>
      </c>
      <c r="C9" s="63"/>
      <c r="D9" s="63"/>
      <c r="E9" s="110"/>
      <c r="F9" s="110"/>
    </row>
    <row r="10" spans="1:8" x14ac:dyDescent="0.25">
      <c r="A10" s="2" t="s">
        <v>94</v>
      </c>
      <c r="B10" s="2" t="s">
        <v>220</v>
      </c>
      <c r="C10" s="60">
        <v>19</v>
      </c>
      <c r="D10" s="60">
        <v>45</v>
      </c>
      <c r="E10" s="142">
        <v>59523298</v>
      </c>
      <c r="F10" s="142">
        <f>E10/D10</f>
        <v>1322739.9555555556</v>
      </c>
    </row>
    <row r="11" spans="1:8" x14ac:dyDescent="0.25">
      <c r="A11" s="2" t="s">
        <v>95</v>
      </c>
      <c r="B11" s="2" t="s">
        <v>221</v>
      </c>
      <c r="C11" s="60">
        <v>18</v>
      </c>
      <c r="D11" s="60">
        <v>93</v>
      </c>
      <c r="E11" s="142">
        <v>49763207</v>
      </c>
      <c r="F11" s="142">
        <f>E11/D11</f>
        <v>535088.24731182796</v>
      </c>
    </row>
    <row r="12" spans="1:8" x14ac:dyDescent="0.25">
      <c r="A12" s="2" t="s">
        <v>96</v>
      </c>
      <c r="B12" s="2" t="s">
        <v>222</v>
      </c>
      <c r="C12" s="60">
        <v>8</v>
      </c>
      <c r="D12" s="60">
        <v>76</v>
      </c>
      <c r="E12" s="142">
        <v>9183652</v>
      </c>
      <c r="F12" s="142">
        <f>E12/D12</f>
        <v>120837.52631578948</v>
      </c>
    </row>
    <row r="13" spans="1:8" x14ac:dyDescent="0.25">
      <c r="A13" s="63"/>
      <c r="B13" s="109" t="s">
        <v>14</v>
      </c>
      <c r="C13" s="63"/>
      <c r="D13" s="63"/>
      <c r="E13" s="110"/>
      <c r="F13" s="110"/>
      <c r="G13" s="24"/>
      <c r="H13" s="24"/>
    </row>
    <row r="14" spans="1:8" x14ac:dyDescent="0.25">
      <c r="A14" s="111" t="s">
        <v>97</v>
      </c>
      <c r="B14" s="111" t="s">
        <v>223</v>
      </c>
      <c r="C14" s="60">
        <v>7</v>
      </c>
      <c r="D14" s="60">
        <v>8</v>
      </c>
      <c r="E14" s="142">
        <v>8193445</v>
      </c>
      <c r="F14" s="142">
        <f>E14/D14</f>
        <v>1024180.625</v>
      </c>
      <c r="G14" s="24"/>
    </row>
    <row r="15" spans="1:8" x14ac:dyDescent="0.25">
      <c r="A15" s="111" t="s">
        <v>98</v>
      </c>
      <c r="B15" s="111" t="s">
        <v>552</v>
      </c>
      <c r="C15" s="60">
        <v>1</v>
      </c>
      <c r="D15" s="60">
        <v>1</v>
      </c>
      <c r="E15" s="142">
        <v>544918</v>
      </c>
      <c r="F15" s="142">
        <f>E15/D15</f>
        <v>544918</v>
      </c>
      <c r="G15" s="24"/>
    </row>
    <row r="16" spans="1:8" x14ac:dyDescent="0.25">
      <c r="A16" s="111" t="s">
        <v>99</v>
      </c>
      <c r="B16" s="111" t="s">
        <v>557</v>
      </c>
      <c r="C16" s="60">
        <v>2</v>
      </c>
      <c r="D16" s="60">
        <v>2</v>
      </c>
      <c r="E16" s="142">
        <v>21582040</v>
      </c>
      <c r="F16" s="142">
        <f>E16/D16</f>
        <v>10791020</v>
      </c>
    </row>
    <row r="17" spans="1:8" x14ac:dyDescent="0.25">
      <c r="A17" s="63"/>
      <c r="B17" s="109" t="s">
        <v>679</v>
      </c>
      <c r="C17" s="63"/>
      <c r="D17" s="63"/>
      <c r="E17" s="110"/>
      <c r="F17" s="110"/>
    </row>
    <row r="18" spans="1:8" x14ac:dyDescent="0.25">
      <c r="A18" s="2" t="s">
        <v>100</v>
      </c>
      <c r="B18" s="2" t="s">
        <v>48</v>
      </c>
      <c r="C18" s="60">
        <v>9</v>
      </c>
      <c r="D18" s="60">
        <v>11</v>
      </c>
      <c r="E18" s="142">
        <v>14313341</v>
      </c>
      <c r="F18" s="142">
        <f>E18/D18</f>
        <v>1301212.8181818181</v>
      </c>
    </row>
    <row r="19" spans="1:8" x14ac:dyDescent="0.25">
      <c r="A19" s="2" t="s">
        <v>101</v>
      </c>
      <c r="B19" s="2" t="s">
        <v>424</v>
      </c>
      <c r="C19" s="60">
        <v>2</v>
      </c>
      <c r="D19" s="60">
        <v>2</v>
      </c>
      <c r="E19" s="142">
        <v>11506830</v>
      </c>
      <c r="F19" s="142">
        <f>E19/D19</f>
        <v>5753415</v>
      </c>
    </row>
    <row r="20" spans="1:8" ht="14.25" customHeight="1" x14ac:dyDescent="0.25">
      <c r="A20" s="63"/>
      <c r="B20" s="109" t="s">
        <v>15</v>
      </c>
      <c r="C20" s="63"/>
      <c r="D20" s="63"/>
      <c r="E20" s="110"/>
      <c r="F20" s="110"/>
    </row>
    <row r="21" spans="1:8" x14ac:dyDescent="0.25">
      <c r="A21" s="2" t="s">
        <v>102</v>
      </c>
      <c r="B21" s="2" t="s">
        <v>225</v>
      </c>
      <c r="C21" s="60">
        <v>1</v>
      </c>
      <c r="D21" s="60">
        <v>1</v>
      </c>
      <c r="E21" s="142">
        <v>1100000</v>
      </c>
      <c r="F21" s="142">
        <f>E21/D21</f>
        <v>1100000</v>
      </c>
    </row>
    <row r="22" spans="1:8" x14ac:dyDescent="0.25">
      <c r="A22" s="2" t="s">
        <v>103</v>
      </c>
      <c r="B22" s="2" t="s">
        <v>224</v>
      </c>
      <c r="C22" s="60">
        <v>1</v>
      </c>
      <c r="D22" s="60">
        <v>1</v>
      </c>
      <c r="E22" s="142">
        <v>1000000</v>
      </c>
      <c r="F22" s="142">
        <f>E22/D22</f>
        <v>1000000</v>
      </c>
    </row>
    <row r="23" spans="1:8" x14ac:dyDescent="0.25">
      <c r="A23" s="2" t="s">
        <v>104</v>
      </c>
      <c r="B23" s="111" t="s">
        <v>227</v>
      </c>
      <c r="C23" s="60">
        <v>2</v>
      </c>
      <c r="D23" s="60">
        <v>2</v>
      </c>
      <c r="E23" s="142">
        <v>7246480</v>
      </c>
      <c r="F23" s="142">
        <f>E23/D23</f>
        <v>3623240</v>
      </c>
    </row>
    <row r="24" spans="1:8" x14ac:dyDescent="0.25">
      <c r="A24" s="2" t="s">
        <v>105</v>
      </c>
      <c r="B24" s="111" t="s">
        <v>226</v>
      </c>
      <c r="C24" s="60">
        <v>4</v>
      </c>
      <c r="D24" s="60">
        <v>4</v>
      </c>
      <c r="E24" s="142">
        <v>44651871</v>
      </c>
      <c r="F24" s="142">
        <f>E24/D24</f>
        <v>11162967.75</v>
      </c>
      <c r="G24" s="24"/>
    </row>
    <row r="25" spans="1:8" x14ac:dyDescent="0.25">
      <c r="A25" s="2" t="s">
        <v>106</v>
      </c>
      <c r="B25" s="111" t="s">
        <v>553</v>
      </c>
      <c r="C25" s="60">
        <v>1</v>
      </c>
      <c r="D25" s="60">
        <v>1</v>
      </c>
      <c r="E25" s="142">
        <v>1231256</v>
      </c>
      <c r="F25" s="142">
        <f>E25/D25</f>
        <v>1231256</v>
      </c>
      <c r="H25" s="24"/>
    </row>
    <row r="26" spans="1:8" x14ac:dyDescent="0.25">
      <c r="A26" s="63"/>
      <c r="B26" s="109" t="s">
        <v>228</v>
      </c>
      <c r="C26" s="63"/>
      <c r="D26" s="63"/>
      <c r="E26" s="110"/>
      <c r="F26" s="110"/>
    </row>
    <row r="27" spans="1:8" x14ac:dyDescent="0.25">
      <c r="A27" s="111" t="s">
        <v>107</v>
      </c>
      <c r="B27" s="111" t="s">
        <v>229</v>
      </c>
      <c r="C27" s="60">
        <v>3</v>
      </c>
      <c r="D27" s="60">
        <v>3</v>
      </c>
      <c r="E27" s="142">
        <v>5949300</v>
      </c>
      <c r="F27" s="142">
        <f>E27/D27</f>
        <v>1983100</v>
      </c>
    </row>
    <row r="28" spans="1:8" x14ac:dyDescent="0.25">
      <c r="A28" s="63"/>
      <c r="B28" s="109" t="s">
        <v>17</v>
      </c>
      <c r="C28" s="63"/>
      <c r="D28" s="63"/>
      <c r="E28" s="110"/>
      <c r="F28" s="110"/>
    </row>
    <row r="29" spans="1:8" x14ac:dyDescent="0.25">
      <c r="A29" s="111" t="s">
        <v>108</v>
      </c>
      <c r="B29" s="111" t="s">
        <v>426</v>
      </c>
      <c r="C29" s="60">
        <v>3</v>
      </c>
      <c r="D29" s="60">
        <v>8</v>
      </c>
      <c r="E29" s="142">
        <v>19591347</v>
      </c>
      <c r="F29" s="142">
        <f>E29/D29</f>
        <v>2448918.375</v>
      </c>
    </row>
    <row r="30" spans="1:8" x14ac:dyDescent="0.25">
      <c r="A30" s="111" t="s">
        <v>109</v>
      </c>
      <c r="B30" s="111" t="s">
        <v>554</v>
      </c>
      <c r="C30" s="60">
        <v>1</v>
      </c>
      <c r="D30" s="60">
        <v>1</v>
      </c>
      <c r="E30" s="142">
        <v>825960</v>
      </c>
      <c r="F30" s="142">
        <f>E30/D30</f>
        <v>825960</v>
      </c>
    </row>
    <row r="31" spans="1:8" ht="30" x14ac:dyDescent="0.25">
      <c r="A31" s="111" t="s">
        <v>110</v>
      </c>
      <c r="B31" s="213" t="s">
        <v>425</v>
      </c>
      <c r="C31" s="60">
        <v>1</v>
      </c>
      <c r="D31" s="60">
        <v>1</v>
      </c>
      <c r="E31" s="142">
        <v>480000</v>
      </c>
      <c r="F31" s="142">
        <f>E31/D31</f>
        <v>480000</v>
      </c>
      <c r="G31" s="24"/>
    </row>
    <row r="32" spans="1:8" x14ac:dyDescent="0.25">
      <c r="A32" s="63"/>
      <c r="B32" s="109" t="s">
        <v>18</v>
      </c>
      <c r="C32" s="63"/>
      <c r="D32" s="63"/>
      <c r="E32" s="110"/>
      <c r="F32" s="110"/>
    </row>
    <row r="33" spans="1:6" x14ac:dyDescent="0.25">
      <c r="A33" s="2" t="s">
        <v>111</v>
      </c>
      <c r="B33" s="112" t="s">
        <v>230</v>
      </c>
      <c r="C33" s="60">
        <v>2</v>
      </c>
      <c r="D33" s="60">
        <v>2</v>
      </c>
      <c r="E33" s="142">
        <v>1920434</v>
      </c>
      <c r="F33" s="142">
        <f>E33/D33</f>
        <v>960217</v>
      </c>
    </row>
    <row r="34" spans="1:6" x14ac:dyDescent="0.25">
      <c r="C34" s="137"/>
      <c r="D34" s="137"/>
      <c r="E34" s="136"/>
      <c r="F34" s="136"/>
    </row>
  </sheetData>
  <mergeCells count="1">
    <mergeCell ref="A1:F1"/>
  </mergeCells>
  <conditionalFormatting sqref="E5:E33">
    <cfRule type="top10" dxfId="3" priority="4" percent="1" rank="10"/>
  </conditionalFormatting>
  <conditionalFormatting sqref="D5:D33">
    <cfRule type="top10" dxfId="2" priority="3" percent="1" rank="10"/>
  </conditionalFormatting>
  <conditionalFormatting sqref="C5:C33">
    <cfRule type="top10" dxfId="1" priority="2" percent="1" rank="10"/>
  </conditionalFormatting>
  <conditionalFormatting sqref="F5:F33">
    <cfRule type="top10" dxfId="0" priority="1" percent="1" rank="10"/>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1"/>
  <sheetViews>
    <sheetView workbookViewId="0">
      <selection activeCell="O11" sqref="O11"/>
    </sheetView>
  </sheetViews>
  <sheetFormatPr defaultRowHeight="15" x14ac:dyDescent="0.25"/>
  <cols>
    <col min="1" max="1" width="4" customWidth="1"/>
    <col min="4" max="4" width="18" bestFit="1" customWidth="1"/>
    <col min="5" max="5" width="36.5703125" bestFit="1" customWidth="1"/>
    <col min="6" max="6" width="9.28515625" bestFit="1" customWidth="1"/>
    <col min="13" max="14" width="10" bestFit="1" customWidth="1"/>
    <col min="15" max="15" width="10.85546875" bestFit="1" customWidth="1"/>
  </cols>
  <sheetData>
    <row r="1" spans="1:15" x14ac:dyDescent="0.25">
      <c r="A1" s="365" t="s">
        <v>399</v>
      </c>
    </row>
    <row r="3" spans="1:15" ht="45" customHeight="1" x14ac:dyDescent="0.25">
      <c r="A3" s="2" t="s">
        <v>41</v>
      </c>
      <c r="B3" s="511" t="s">
        <v>653</v>
      </c>
      <c r="C3" s="511"/>
      <c r="D3" s="511"/>
      <c r="E3" s="511"/>
      <c r="F3" s="511"/>
      <c r="G3" s="511"/>
      <c r="H3" s="511"/>
      <c r="I3" s="511"/>
      <c r="J3" s="511"/>
    </row>
    <row r="4" spans="1:15" ht="46.5" customHeight="1" x14ac:dyDescent="0.25">
      <c r="A4" s="2" t="s">
        <v>91</v>
      </c>
      <c r="B4" s="511" t="s">
        <v>654</v>
      </c>
      <c r="C4" s="511"/>
      <c r="D4" s="511"/>
      <c r="E4" s="511"/>
      <c r="F4" s="511"/>
      <c r="G4" s="511"/>
      <c r="H4" s="511"/>
      <c r="I4" s="511"/>
      <c r="J4" s="511"/>
    </row>
    <row r="5" spans="1:15" ht="46.5" customHeight="1" x14ac:dyDescent="0.25">
      <c r="A5" s="2" t="s">
        <v>92</v>
      </c>
      <c r="B5" s="511" t="s">
        <v>621</v>
      </c>
      <c r="C5" s="511"/>
      <c r="D5" s="511"/>
      <c r="E5" s="511"/>
      <c r="F5" s="511"/>
      <c r="G5" s="511"/>
      <c r="H5" s="511"/>
      <c r="I5" s="511"/>
      <c r="J5" s="511"/>
    </row>
    <row r="6" spans="1:15" ht="72" customHeight="1" x14ac:dyDescent="0.25">
      <c r="A6" s="2" t="s">
        <v>93</v>
      </c>
      <c r="B6" s="511" t="s">
        <v>620</v>
      </c>
      <c r="C6" s="511"/>
      <c r="D6" s="511"/>
      <c r="E6" s="511"/>
      <c r="F6" s="511"/>
      <c r="G6" s="511"/>
      <c r="H6" s="511"/>
      <c r="I6" s="511"/>
      <c r="J6" s="511"/>
    </row>
    <row r="7" spans="1:15" ht="102.75" customHeight="1" x14ac:dyDescent="0.25">
      <c r="A7" s="2" t="s">
        <v>94</v>
      </c>
      <c r="B7" s="511" t="s">
        <v>655</v>
      </c>
      <c r="C7" s="511"/>
      <c r="D7" s="511"/>
      <c r="E7" s="511"/>
      <c r="F7" s="511"/>
      <c r="G7" s="511"/>
      <c r="H7" s="511"/>
      <c r="I7" s="511"/>
      <c r="J7" s="511"/>
    </row>
    <row r="8" spans="1:15" ht="79.5" customHeight="1" x14ac:dyDescent="0.25">
      <c r="A8" s="111" t="s">
        <v>95</v>
      </c>
      <c r="B8" s="512" t="s">
        <v>656</v>
      </c>
      <c r="C8" s="512"/>
      <c r="D8" s="512"/>
      <c r="E8" s="512"/>
      <c r="F8" s="512"/>
      <c r="G8" s="512"/>
      <c r="H8" s="512"/>
      <c r="I8" s="512"/>
      <c r="J8" s="512"/>
    </row>
    <row r="9" spans="1:15" ht="90.75" customHeight="1" x14ac:dyDescent="0.25">
      <c r="A9" s="111" t="s">
        <v>96</v>
      </c>
      <c r="B9" s="511" t="s">
        <v>657</v>
      </c>
      <c r="C9" s="511"/>
      <c r="D9" s="511"/>
      <c r="E9" s="511"/>
      <c r="F9" s="511"/>
      <c r="G9" s="511"/>
      <c r="H9" s="511"/>
      <c r="I9" s="511"/>
      <c r="J9" s="511"/>
    </row>
    <row r="10" spans="1:15" ht="50.25" customHeight="1" x14ac:dyDescent="0.25">
      <c r="A10" s="111" t="s">
        <v>97</v>
      </c>
      <c r="B10" s="511" t="s">
        <v>624</v>
      </c>
      <c r="C10" s="511"/>
      <c r="D10" s="511"/>
      <c r="E10" s="511"/>
      <c r="F10" s="511"/>
      <c r="G10" s="511"/>
      <c r="H10" s="511"/>
      <c r="I10" s="511"/>
      <c r="J10" s="511"/>
    </row>
    <row r="11" spans="1:15" ht="32.25" customHeight="1" x14ac:dyDescent="0.25">
      <c r="A11" s="111" t="s">
        <v>98</v>
      </c>
      <c r="B11" s="511" t="s">
        <v>658</v>
      </c>
      <c r="C11" s="511"/>
      <c r="D11" s="511"/>
      <c r="E11" s="511"/>
      <c r="F11" s="511"/>
      <c r="G11" s="511"/>
      <c r="H11" s="511"/>
      <c r="I11" s="511"/>
      <c r="J11" s="511"/>
    </row>
    <row r="12" spans="1:15" ht="77.25" customHeight="1" x14ac:dyDescent="0.25">
      <c r="A12" s="111" t="s">
        <v>99</v>
      </c>
      <c r="B12" s="511" t="s">
        <v>625</v>
      </c>
      <c r="C12" s="511"/>
      <c r="D12" s="511"/>
      <c r="E12" s="511"/>
      <c r="F12" s="511"/>
      <c r="G12" s="511"/>
      <c r="H12" s="511"/>
      <c r="I12" s="511"/>
      <c r="J12" s="511"/>
    </row>
    <row r="13" spans="1:15" ht="75" customHeight="1" x14ac:dyDescent="0.25">
      <c r="A13" s="111" t="s">
        <v>100</v>
      </c>
      <c r="B13" s="511" t="s">
        <v>659</v>
      </c>
      <c r="C13" s="511"/>
      <c r="D13" s="511"/>
      <c r="E13" s="511"/>
      <c r="F13" s="511"/>
      <c r="G13" s="511"/>
      <c r="H13" s="511"/>
      <c r="I13" s="511"/>
      <c r="J13" s="511"/>
      <c r="O13" s="250"/>
    </row>
    <row r="14" spans="1:15" ht="92.25" customHeight="1" x14ac:dyDescent="0.25">
      <c r="A14" s="111" t="s">
        <v>101</v>
      </c>
      <c r="B14" s="511" t="s">
        <v>660</v>
      </c>
      <c r="C14" s="511"/>
      <c r="D14" s="511"/>
      <c r="E14" s="511"/>
      <c r="F14" s="511"/>
      <c r="G14" s="511"/>
      <c r="H14" s="511"/>
      <c r="I14" s="511"/>
      <c r="J14" s="511"/>
    </row>
    <row r="15" spans="1:15" ht="61.5" customHeight="1" x14ac:dyDescent="0.25">
      <c r="A15" s="111" t="s">
        <v>102</v>
      </c>
      <c r="B15" s="511" t="s">
        <v>661</v>
      </c>
      <c r="C15" s="511"/>
      <c r="D15" s="511"/>
      <c r="E15" s="511"/>
      <c r="F15" s="511"/>
      <c r="G15" s="511"/>
      <c r="H15" s="511"/>
      <c r="I15" s="511"/>
      <c r="J15" s="511"/>
    </row>
    <row r="16" spans="1:15" ht="77.25" customHeight="1" x14ac:dyDescent="0.25">
      <c r="A16" s="111" t="s">
        <v>103</v>
      </c>
      <c r="B16" s="513" t="s">
        <v>662</v>
      </c>
      <c r="C16" s="514"/>
      <c r="D16" s="514"/>
      <c r="E16" s="514"/>
      <c r="F16" s="514"/>
      <c r="G16" s="514"/>
      <c r="H16" s="514"/>
      <c r="I16" s="514"/>
      <c r="J16" s="515"/>
      <c r="O16" s="250"/>
    </row>
    <row r="17" spans="1:10" ht="80.25" customHeight="1" x14ac:dyDescent="0.25">
      <c r="A17" s="111" t="s">
        <v>104</v>
      </c>
      <c r="B17" s="511" t="s">
        <v>646</v>
      </c>
      <c r="C17" s="511"/>
      <c r="D17" s="511"/>
      <c r="E17" s="511"/>
      <c r="F17" s="511"/>
      <c r="G17" s="511"/>
      <c r="H17" s="511"/>
      <c r="I17" s="511"/>
      <c r="J17" s="511"/>
    </row>
    <row r="18" spans="1:10" ht="74.25" customHeight="1" x14ac:dyDescent="0.25">
      <c r="A18" s="111" t="s">
        <v>105</v>
      </c>
      <c r="B18" s="511" t="s">
        <v>647</v>
      </c>
      <c r="C18" s="511"/>
      <c r="D18" s="511"/>
      <c r="E18" s="511"/>
      <c r="F18" s="511"/>
      <c r="G18" s="511"/>
      <c r="H18" s="511"/>
      <c r="I18" s="511"/>
      <c r="J18" s="511"/>
    </row>
    <row r="19" spans="1:10" ht="29.25" customHeight="1" x14ac:dyDescent="0.25">
      <c r="A19" s="111" t="s">
        <v>106</v>
      </c>
      <c r="B19" s="511" t="s">
        <v>648</v>
      </c>
      <c r="C19" s="511"/>
      <c r="D19" s="511"/>
      <c r="E19" s="511"/>
      <c r="F19" s="511"/>
      <c r="G19" s="511"/>
      <c r="H19" s="511"/>
      <c r="I19" s="511"/>
      <c r="J19" s="511"/>
    </row>
    <row r="20" spans="1:10" ht="30.75" customHeight="1" x14ac:dyDescent="0.25">
      <c r="A20" s="111" t="s">
        <v>107</v>
      </c>
      <c r="B20" s="511" t="s">
        <v>663</v>
      </c>
      <c r="C20" s="511"/>
      <c r="D20" s="511"/>
      <c r="E20" s="511"/>
      <c r="F20" s="511"/>
      <c r="G20" s="511"/>
      <c r="H20" s="511"/>
      <c r="I20" s="511"/>
      <c r="J20" s="511"/>
    </row>
    <row r="21" spans="1:10" ht="45.75" customHeight="1" x14ac:dyDescent="0.25">
      <c r="A21" s="111" t="s">
        <v>108</v>
      </c>
      <c r="B21" s="511" t="s">
        <v>649</v>
      </c>
      <c r="C21" s="511"/>
      <c r="D21" s="511"/>
      <c r="E21" s="511"/>
      <c r="F21" s="511"/>
      <c r="G21" s="511"/>
      <c r="H21" s="511"/>
      <c r="I21" s="511"/>
      <c r="J21" s="511"/>
    </row>
    <row r="22" spans="1:10" ht="78.75" customHeight="1" x14ac:dyDescent="0.25">
      <c r="A22" s="111" t="s">
        <v>109</v>
      </c>
      <c r="B22" s="511" t="s">
        <v>650</v>
      </c>
      <c r="C22" s="511"/>
      <c r="D22" s="511"/>
      <c r="E22" s="511"/>
      <c r="F22" s="511"/>
      <c r="G22" s="511"/>
      <c r="H22" s="511"/>
      <c r="I22" s="511"/>
      <c r="J22" s="511"/>
    </row>
    <row r="34" spans="4:8" x14ac:dyDescent="0.25">
      <c r="D34" s="305"/>
      <c r="E34" s="17"/>
      <c r="F34" s="17"/>
    </row>
    <row r="35" spans="4:8" x14ac:dyDescent="0.25">
      <c r="D35" s="17"/>
      <c r="E35" s="17"/>
      <c r="F35" s="17"/>
      <c r="G35" s="17"/>
      <c r="H35" s="17"/>
    </row>
    <row r="36" spans="4:8" x14ac:dyDescent="0.25">
      <c r="D36" s="17"/>
      <c r="E36" s="17"/>
      <c r="F36" s="17"/>
    </row>
    <row r="37" spans="4:8" x14ac:dyDescent="0.25">
      <c r="D37" s="17"/>
      <c r="E37" s="17"/>
      <c r="F37" s="17"/>
    </row>
    <row r="38" spans="4:8" x14ac:dyDescent="0.25">
      <c r="D38" s="17"/>
      <c r="E38" s="17"/>
      <c r="F38" s="17"/>
    </row>
    <row r="39" spans="4:8" x14ac:dyDescent="0.25">
      <c r="D39" s="17"/>
      <c r="E39" s="17"/>
      <c r="F39" s="17"/>
    </row>
    <row r="40" spans="4:8" x14ac:dyDescent="0.25">
      <c r="D40" s="305"/>
      <c r="E40" s="305"/>
      <c r="F40" s="305"/>
    </row>
    <row r="41" spans="4:8" x14ac:dyDescent="0.25">
      <c r="D41" s="306"/>
      <c r="E41" s="17"/>
      <c r="F41" s="17"/>
    </row>
  </sheetData>
  <mergeCells count="20">
    <mergeCell ref="B13:J13"/>
    <mergeCell ref="B14:J14"/>
    <mergeCell ref="B15:J15"/>
    <mergeCell ref="B16:J16"/>
    <mergeCell ref="B20:J20"/>
    <mergeCell ref="B21:J21"/>
    <mergeCell ref="B22:J22"/>
    <mergeCell ref="B17:J17"/>
    <mergeCell ref="B18:J18"/>
    <mergeCell ref="B19:J19"/>
    <mergeCell ref="B8:J8"/>
    <mergeCell ref="B9:J9"/>
    <mergeCell ref="B10:J10"/>
    <mergeCell ref="B11:J11"/>
    <mergeCell ref="B12:J12"/>
    <mergeCell ref="B3:J3"/>
    <mergeCell ref="B4:J4"/>
    <mergeCell ref="B5:J5"/>
    <mergeCell ref="B6:J6"/>
    <mergeCell ref="B7:J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topLeftCell="A34" workbookViewId="0">
      <selection activeCell="N48" sqref="N48"/>
    </sheetView>
  </sheetViews>
  <sheetFormatPr defaultRowHeight="15" x14ac:dyDescent="0.25"/>
  <cols>
    <col min="1" max="1" width="4.140625" customWidth="1"/>
  </cols>
  <sheetData>
    <row r="1" spans="1:10" ht="32.25" customHeight="1" x14ac:dyDescent="0.25">
      <c r="A1" s="422" t="s">
        <v>463</v>
      </c>
      <c r="B1" s="422"/>
      <c r="C1" s="422"/>
      <c r="D1" s="422"/>
      <c r="E1" s="422"/>
      <c r="F1" s="422"/>
      <c r="G1" s="422"/>
      <c r="H1" s="422"/>
      <c r="I1" s="422"/>
      <c r="J1" s="422"/>
    </row>
    <row r="3" spans="1:10" x14ac:dyDescent="0.25">
      <c r="A3" s="14" t="s">
        <v>362</v>
      </c>
    </row>
    <row r="5" spans="1:10" x14ac:dyDescent="0.25">
      <c r="A5" s="230" t="s">
        <v>363</v>
      </c>
      <c r="B5" s="230" t="s">
        <v>364</v>
      </c>
      <c r="C5" s="230"/>
      <c r="D5" s="230"/>
      <c r="E5" s="230"/>
      <c r="F5" s="230"/>
      <c r="G5" s="230"/>
      <c r="H5" s="230"/>
    </row>
    <row r="6" spans="1:10" x14ac:dyDescent="0.25">
      <c r="C6" s="230" t="s">
        <v>464</v>
      </c>
      <c r="D6" s="230"/>
    </row>
    <row r="7" spans="1:10" x14ac:dyDescent="0.25">
      <c r="A7" s="78" t="s">
        <v>365</v>
      </c>
      <c r="B7" s="78" t="s">
        <v>465</v>
      </c>
      <c r="C7" s="78"/>
      <c r="D7" s="78"/>
      <c r="E7" s="78"/>
      <c r="F7" s="78"/>
      <c r="G7" s="78"/>
      <c r="H7" s="78"/>
      <c r="I7" s="78"/>
      <c r="J7" s="78"/>
    </row>
    <row r="8" spans="1:10" x14ac:dyDescent="0.25">
      <c r="C8" s="78" t="s">
        <v>372</v>
      </c>
      <c r="D8" s="78"/>
      <c r="E8" s="78"/>
      <c r="F8" s="78"/>
    </row>
    <row r="9" spans="1:10" x14ac:dyDescent="0.25">
      <c r="C9" s="78" t="s">
        <v>398</v>
      </c>
      <c r="D9" s="78"/>
      <c r="E9" s="78"/>
      <c r="F9" s="78"/>
    </row>
    <row r="10" spans="1:10" x14ac:dyDescent="0.25">
      <c r="A10" s="198" t="s">
        <v>330</v>
      </c>
      <c r="B10" s="198" t="s">
        <v>331</v>
      </c>
      <c r="C10" s="198"/>
      <c r="D10" s="198"/>
      <c r="E10" s="198"/>
      <c r="F10" s="198"/>
    </row>
    <row r="11" spans="1:10" x14ac:dyDescent="0.25">
      <c r="C11" s="198" t="s">
        <v>466</v>
      </c>
      <c r="D11" s="198"/>
      <c r="E11" s="198"/>
      <c r="F11" s="198"/>
    </row>
    <row r="12" spans="1:10" x14ac:dyDescent="0.25">
      <c r="C12" s="198" t="s">
        <v>373</v>
      </c>
      <c r="D12" s="198"/>
      <c r="E12" s="198"/>
      <c r="F12" s="198"/>
    </row>
    <row r="13" spans="1:10" x14ac:dyDescent="0.25">
      <c r="C13" s="198" t="s">
        <v>374</v>
      </c>
      <c r="D13" s="198"/>
      <c r="E13" s="198"/>
      <c r="F13" s="198"/>
    </row>
    <row r="14" spans="1:10" x14ac:dyDescent="0.25">
      <c r="C14" s="198" t="s">
        <v>402</v>
      </c>
      <c r="D14" s="198"/>
      <c r="E14" s="198"/>
      <c r="F14" s="198"/>
    </row>
    <row r="15" spans="1:10" x14ac:dyDescent="0.25">
      <c r="C15" s="198" t="s">
        <v>375</v>
      </c>
      <c r="D15" s="198"/>
      <c r="E15" s="198"/>
      <c r="F15" s="198"/>
    </row>
    <row r="16" spans="1:10" x14ac:dyDescent="0.25">
      <c r="C16" s="198" t="s">
        <v>376</v>
      </c>
      <c r="D16" s="198"/>
      <c r="E16" s="198"/>
      <c r="F16" s="198"/>
    </row>
    <row r="17" spans="1:10" x14ac:dyDescent="0.25">
      <c r="C17" s="198" t="s">
        <v>377</v>
      </c>
      <c r="D17" s="198"/>
      <c r="E17" s="198"/>
      <c r="F17" s="198"/>
    </row>
    <row r="18" spans="1:10" x14ac:dyDescent="0.25">
      <c r="A18" s="231" t="s">
        <v>325</v>
      </c>
      <c r="B18" s="231" t="s">
        <v>326</v>
      </c>
      <c r="C18" s="231"/>
      <c r="D18" s="231"/>
      <c r="E18" s="231"/>
      <c r="F18" s="231"/>
    </row>
    <row r="19" spans="1:10" x14ac:dyDescent="0.25">
      <c r="C19" s="231" t="s">
        <v>378</v>
      </c>
      <c r="D19" s="231"/>
    </row>
    <row r="20" spans="1:10" x14ac:dyDescent="0.25">
      <c r="C20" s="231" t="s">
        <v>379</v>
      </c>
      <c r="D20" s="231"/>
    </row>
    <row r="21" spans="1:10" x14ac:dyDescent="0.25">
      <c r="A21" s="197" t="s">
        <v>327</v>
      </c>
      <c r="B21" s="197" t="s">
        <v>42</v>
      </c>
      <c r="C21" s="197"/>
      <c r="D21" s="197"/>
      <c r="E21" s="197"/>
      <c r="F21" s="197"/>
      <c r="G21" s="197"/>
      <c r="H21" s="197"/>
    </row>
    <row r="22" spans="1:10" x14ac:dyDescent="0.25">
      <c r="C22" s="197" t="s">
        <v>380</v>
      </c>
      <c r="D22" s="197"/>
    </row>
    <row r="23" spans="1:10" x14ac:dyDescent="0.25">
      <c r="C23" s="197" t="s">
        <v>381</v>
      </c>
      <c r="D23" s="197"/>
    </row>
    <row r="24" spans="1:10" x14ac:dyDescent="0.25">
      <c r="A24" t="s">
        <v>382</v>
      </c>
      <c r="B24" t="s">
        <v>328</v>
      </c>
    </row>
    <row r="25" spans="1:10" x14ac:dyDescent="0.25">
      <c r="B25" t="s">
        <v>329</v>
      </c>
    </row>
    <row r="26" spans="1:10" x14ac:dyDescent="0.25">
      <c r="A26" t="s">
        <v>414</v>
      </c>
      <c r="B26" t="s">
        <v>399</v>
      </c>
    </row>
    <row r="28" spans="1:10" x14ac:dyDescent="0.25">
      <c r="A28" s="14" t="s">
        <v>366</v>
      </c>
    </row>
    <row r="30" spans="1:10" ht="177" customHeight="1" x14ac:dyDescent="0.25">
      <c r="A30" s="421" t="s">
        <v>370</v>
      </c>
      <c r="B30" s="421"/>
      <c r="C30" s="421" t="s">
        <v>622</v>
      </c>
      <c r="D30" s="421"/>
      <c r="E30" s="421"/>
      <c r="F30" s="421"/>
      <c r="G30" s="421"/>
      <c r="H30" s="421"/>
      <c r="I30" s="421"/>
      <c r="J30" s="421"/>
    </row>
    <row r="31" spans="1:10" ht="134.25" customHeight="1" x14ac:dyDescent="0.25">
      <c r="A31" s="421" t="s">
        <v>369</v>
      </c>
      <c r="B31" s="421"/>
      <c r="C31" s="421" t="s">
        <v>467</v>
      </c>
      <c r="D31" s="421"/>
      <c r="E31" s="421"/>
      <c r="F31" s="421"/>
      <c r="G31" s="421"/>
      <c r="H31" s="421"/>
      <c r="I31" s="421"/>
      <c r="J31" s="421"/>
    </row>
    <row r="32" spans="1:10" ht="47.25" customHeight="1" x14ac:dyDescent="0.25">
      <c r="A32" s="421" t="s">
        <v>368</v>
      </c>
      <c r="B32" s="421"/>
      <c r="C32" s="421" t="s">
        <v>651</v>
      </c>
      <c r="D32" s="421"/>
      <c r="E32" s="421"/>
      <c r="F32" s="421"/>
      <c r="G32" s="421"/>
      <c r="H32" s="421"/>
      <c r="I32" s="421"/>
      <c r="J32" s="421"/>
    </row>
    <row r="33" spans="1:10" ht="33.75" customHeight="1" x14ac:dyDescent="0.25">
      <c r="A33" s="423" t="s">
        <v>403</v>
      </c>
      <c r="B33" s="423"/>
      <c r="C33" s="421" t="s">
        <v>371</v>
      </c>
      <c r="D33" s="421"/>
      <c r="E33" s="421"/>
      <c r="F33" s="421"/>
      <c r="G33" s="421"/>
      <c r="H33" s="421"/>
      <c r="I33" s="421"/>
      <c r="J33" s="421"/>
    </row>
    <row r="34" spans="1:10" ht="241.5" customHeight="1" x14ac:dyDescent="0.25">
      <c r="A34" s="421" t="s">
        <v>367</v>
      </c>
      <c r="B34" s="421"/>
      <c r="C34" s="421" t="s">
        <v>664</v>
      </c>
      <c r="D34" s="421"/>
      <c r="E34" s="421"/>
      <c r="F34" s="421"/>
      <c r="G34" s="421"/>
      <c r="H34" s="421"/>
      <c r="I34" s="421"/>
      <c r="J34" s="421"/>
    </row>
    <row r="36" spans="1:10" x14ac:dyDescent="0.25">
      <c r="A36" s="14" t="s">
        <v>665</v>
      </c>
    </row>
    <row r="37" spans="1:10" x14ac:dyDescent="0.25">
      <c r="A37" t="s">
        <v>666</v>
      </c>
    </row>
    <row r="38" spans="1:10" x14ac:dyDescent="0.25">
      <c r="A38" t="s">
        <v>667</v>
      </c>
    </row>
    <row r="39" spans="1:10" x14ac:dyDescent="0.25">
      <c r="A39" t="s">
        <v>668</v>
      </c>
    </row>
    <row r="40" spans="1:10" x14ac:dyDescent="0.25">
      <c r="A40" t="s">
        <v>669</v>
      </c>
    </row>
    <row r="41" spans="1:10" x14ac:dyDescent="0.25">
      <c r="A41" t="s">
        <v>670</v>
      </c>
    </row>
    <row r="42" spans="1:10" x14ac:dyDescent="0.25">
      <c r="A42" t="s">
        <v>671</v>
      </c>
    </row>
    <row r="43" spans="1:10" ht="45" customHeight="1" x14ac:dyDescent="0.25">
      <c r="A43" s="420" t="s">
        <v>672</v>
      </c>
      <c r="B43" s="420"/>
      <c r="C43" s="420"/>
      <c r="D43" s="420"/>
      <c r="E43" s="420"/>
      <c r="F43" s="420"/>
      <c r="G43" s="420"/>
      <c r="H43" s="420"/>
      <c r="I43" s="420"/>
      <c r="J43" s="420"/>
    </row>
    <row r="44" spans="1:10" ht="31.5" customHeight="1" x14ac:dyDescent="0.25">
      <c r="A44" s="420" t="s">
        <v>673</v>
      </c>
      <c r="B44" s="420"/>
      <c r="C44" s="420"/>
      <c r="D44" s="420"/>
      <c r="E44" s="420"/>
      <c r="F44" s="420"/>
      <c r="G44" s="420"/>
      <c r="H44" s="420"/>
      <c r="I44" s="420"/>
      <c r="J44" s="420"/>
    </row>
    <row r="45" spans="1:10" ht="30.75" customHeight="1" x14ac:dyDescent="0.25">
      <c r="A45" s="420" t="s">
        <v>674</v>
      </c>
      <c r="B45" s="420"/>
      <c r="C45" s="420"/>
      <c r="D45" s="420"/>
      <c r="E45" s="420"/>
      <c r="F45" s="420"/>
      <c r="G45" s="420"/>
      <c r="H45" s="420"/>
      <c r="I45" s="420"/>
      <c r="J45" s="420"/>
    </row>
  </sheetData>
  <mergeCells count="14">
    <mergeCell ref="A43:J43"/>
    <mergeCell ref="A44:J44"/>
    <mergeCell ref="A45:J45"/>
    <mergeCell ref="C34:J34"/>
    <mergeCell ref="A1:J1"/>
    <mergeCell ref="A30:B30"/>
    <mergeCell ref="A31:B31"/>
    <mergeCell ref="A32:B32"/>
    <mergeCell ref="A33:B33"/>
    <mergeCell ref="A34:B34"/>
    <mergeCell ref="C30:J30"/>
    <mergeCell ref="C31:J31"/>
    <mergeCell ref="C32:J32"/>
    <mergeCell ref="C33:J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8"/>
  <sheetViews>
    <sheetView topLeftCell="A31" workbookViewId="0">
      <selection activeCell="G61" sqref="G61"/>
    </sheetView>
  </sheetViews>
  <sheetFormatPr defaultRowHeight="15" x14ac:dyDescent="0.25"/>
  <cols>
    <col min="1" max="1" width="21.85546875" customWidth="1"/>
    <col min="2" max="2" width="11" customWidth="1"/>
    <col min="3" max="3" width="12.28515625" bestFit="1" customWidth="1"/>
    <col min="4" max="4" width="12.5703125" bestFit="1" customWidth="1"/>
    <col min="5" max="5" width="11.140625" customWidth="1"/>
    <col min="6" max="6" width="12.140625" customWidth="1"/>
    <col min="7" max="7" width="11.140625" customWidth="1"/>
    <col min="8" max="8" width="14.85546875" customWidth="1"/>
    <col min="9" max="9" width="13.42578125" customWidth="1"/>
    <col min="10" max="10" width="10.28515625" customWidth="1"/>
  </cols>
  <sheetData>
    <row r="1" spans="1:12" x14ac:dyDescent="0.25">
      <c r="A1" s="428" t="s">
        <v>0</v>
      </c>
      <c r="B1" s="428"/>
      <c r="C1" s="428"/>
      <c r="D1" s="428"/>
      <c r="E1" s="428"/>
      <c r="F1" s="428"/>
      <c r="G1" s="428"/>
      <c r="H1" s="428"/>
      <c r="I1" s="428"/>
      <c r="J1" s="428"/>
      <c r="K1" s="428"/>
      <c r="L1" s="428"/>
    </row>
    <row r="3" spans="1:12" ht="29.25" customHeight="1" x14ac:dyDescent="0.25">
      <c r="A3" s="424" t="s">
        <v>1</v>
      </c>
      <c r="B3" s="424" t="s">
        <v>2</v>
      </c>
      <c r="C3" s="430" t="s">
        <v>3</v>
      </c>
      <c r="D3" s="430"/>
      <c r="E3" s="430"/>
      <c r="F3" s="430" t="s">
        <v>7</v>
      </c>
      <c r="G3" s="430"/>
      <c r="H3" s="430"/>
      <c r="I3" s="424" t="s">
        <v>11</v>
      </c>
      <c r="J3" s="424"/>
    </row>
    <row r="4" spans="1:12" ht="45" x14ac:dyDescent="0.25">
      <c r="A4" s="424"/>
      <c r="B4" s="424"/>
      <c r="C4" s="429" t="s">
        <v>4</v>
      </c>
      <c r="D4" s="429"/>
      <c r="E4" s="429"/>
      <c r="F4" s="1" t="s">
        <v>8</v>
      </c>
      <c r="G4" s="430" t="s">
        <v>9</v>
      </c>
      <c r="H4" s="430"/>
      <c r="I4" s="424"/>
      <c r="J4" s="424"/>
    </row>
    <row r="5" spans="1:12" ht="60" x14ac:dyDescent="0.25">
      <c r="A5" s="424"/>
      <c r="B5" s="424"/>
      <c r="C5" s="1" t="s">
        <v>39</v>
      </c>
      <c r="D5" s="1" t="s">
        <v>400</v>
      </c>
      <c r="E5" s="1" t="s">
        <v>6</v>
      </c>
      <c r="F5" s="1" t="s">
        <v>6</v>
      </c>
      <c r="G5" s="1" t="s">
        <v>40</v>
      </c>
      <c r="H5" s="1" t="s">
        <v>6</v>
      </c>
      <c r="I5" s="1" t="s">
        <v>6</v>
      </c>
      <c r="J5" s="364" t="s">
        <v>10</v>
      </c>
    </row>
    <row r="6" spans="1:12" x14ac:dyDescent="0.25">
      <c r="A6" s="2" t="s">
        <v>12</v>
      </c>
      <c r="B6" s="60">
        <v>69</v>
      </c>
      <c r="C6" s="60">
        <v>5</v>
      </c>
      <c r="D6" s="320" t="s">
        <v>588</v>
      </c>
      <c r="E6" s="142">
        <v>18220040</v>
      </c>
      <c r="F6" s="142">
        <v>191443069</v>
      </c>
      <c r="G6" s="60">
        <v>158</v>
      </c>
      <c r="H6" s="142">
        <v>54899247</v>
      </c>
      <c r="I6" s="142">
        <f>E6+F6+H6</f>
        <v>264562356</v>
      </c>
      <c r="J6" s="8">
        <f>I6/I14</f>
        <v>0.21375682805428478</v>
      </c>
    </row>
    <row r="7" spans="1:12" x14ac:dyDescent="0.25">
      <c r="A7" s="2" t="s">
        <v>13</v>
      </c>
      <c r="B7" s="60">
        <v>4</v>
      </c>
      <c r="C7" s="60">
        <v>45</v>
      </c>
      <c r="D7" s="320" t="s">
        <v>629</v>
      </c>
      <c r="E7" s="142">
        <v>118470157</v>
      </c>
      <c r="F7" s="142">
        <v>154214890</v>
      </c>
      <c r="G7" s="60">
        <v>1</v>
      </c>
      <c r="H7" s="142">
        <v>41211453</v>
      </c>
      <c r="I7" s="142">
        <f>E7+F7+H7</f>
        <v>313896500</v>
      </c>
      <c r="J7" s="8">
        <f>I7/I14</f>
        <v>0.25361703453132917</v>
      </c>
    </row>
    <row r="8" spans="1:12" x14ac:dyDescent="0.25">
      <c r="A8" s="2" t="s">
        <v>14</v>
      </c>
      <c r="B8" s="60">
        <v>103</v>
      </c>
      <c r="C8" s="60">
        <v>10</v>
      </c>
      <c r="D8" s="320" t="s">
        <v>591</v>
      </c>
      <c r="E8" s="142">
        <v>30320403</v>
      </c>
      <c r="F8" s="142">
        <v>95820411</v>
      </c>
      <c r="G8" s="60">
        <v>97</v>
      </c>
      <c r="H8" s="142">
        <v>2177695</v>
      </c>
      <c r="I8" s="142">
        <f>E8+F8+H8</f>
        <v>128318509</v>
      </c>
      <c r="J8" s="8">
        <f>I8/I14</f>
        <v>0.10367672060077661</v>
      </c>
    </row>
    <row r="9" spans="1:12" x14ac:dyDescent="0.25">
      <c r="A9" s="2" t="s">
        <v>677</v>
      </c>
      <c r="B9" s="60">
        <v>4</v>
      </c>
      <c r="C9" s="60">
        <v>11</v>
      </c>
      <c r="D9" s="320" t="s">
        <v>594</v>
      </c>
      <c r="E9" s="142">
        <v>25820171</v>
      </c>
      <c r="F9" s="142">
        <v>81632020</v>
      </c>
      <c r="G9" s="60">
        <v>86</v>
      </c>
      <c r="H9" s="142">
        <v>16661117</v>
      </c>
      <c r="I9" s="142">
        <f>E9+F9+H9</f>
        <v>124113308</v>
      </c>
      <c r="J9" s="8">
        <f>I9/I14</f>
        <v>0.10027907007830127</v>
      </c>
    </row>
    <row r="10" spans="1:12" x14ac:dyDescent="0.25">
      <c r="A10" s="2" t="s">
        <v>15</v>
      </c>
      <c r="B10" s="60">
        <v>35</v>
      </c>
      <c r="C10" s="60">
        <v>9</v>
      </c>
      <c r="D10" s="318" t="s">
        <v>592</v>
      </c>
      <c r="E10" s="142">
        <v>55229607</v>
      </c>
      <c r="F10" s="142">
        <v>75865405</v>
      </c>
      <c r="G10" s="60">
        <v>2</v>
      </c>
      <c r="H10" s="142">
        <v>135000000</v>
      </c>
      <c r="I10" s="142">
        <f>E10+F10+H10</f>
        <v>266095012</v>
      </c>
      <c r="J10" s="8">
        <f>I10/I14</f>
        <v>0.21499515874505912</v>
      </c>
    </row>
    <row r="11" spans="1:12" x14ac:dyDescent="0.25">
      <c r="A11" s="2" t="s">
        <v>16</v>
      </c>
      <c r="B11" s="60">
        <v>1</v>
      </c>
      <c r="C11" s="60">
        <v>3</v>
      </c>
      <c r="D11" s="320" t="s">
        <v>593</v>
      </c>
      <c r="E11" s="142">
        <v>5949300</v>
      </c>
      <c r="F11" s="142">
        <v>8162215</v>
      </c>
      <c r="G11" s="60">
        <v>0</v>
      </c>
      <c r="H11" s="142">
        <v>0</v>
      </c>
      <c r="I11" s="142">
        <f>E11+F11</f>
        <v>14111515</v>
      </c>
      <c r="J11" s="8">
        <f>I11/I14</f>
        <v>1.1401594433338281E-2</v>
      </c>
    </row>
    <row r="12" spans="1:12" x14ac:dyDescent="0.25">
      <c r="A12" s="2" t="s">
        <v>17</v>
      </c>
      <c r="B12" s="60">
        <v>11</v>
      </c>
      <c r="C12" s="60">
        <v>5</v>
      </c>
      <c r="D12" s="319" t="s">
        <v>630</v>
      </c>
      <c r="E12" s="142">
        <v>20897307</v>
      </c>
      <c r="F12" s="142">
        <v>29864049</v>
      </c>
      <c r="G12" s="60">
        <v>8</v>
      </c>
      <c r="H12" s="142">
        <v>64474526</v>
      </c>
      <c r="I12" s="142">
        <f>E12+F12+H12</f>
        <v>115235882</v>
      </c>
      <c r="J12" s="8">
        <f>I12/I14</f>
        <v>9.3106430509553861E-2</v>
      </c>
    </row>
    <row r="13" spans="1:12" x14ac:dyDescent="0.25">
      <c r="A13" s="2" t="s">
        <v>18</v>
      </c>
      <c r="B13" s="60">
        <v>3</v>
      </c>
      <c r="C13" s="60">
        <v>2</v>
      </c>
      <c r="D13" s="319" t="s">
        <v>597</v>
      </c>
      <c r="E13" s="142">
        <v>1920434</v>
      </c>
      <c r="F13" s="142">
        <v>9425572</v>
      </c>
      <c r="G13" s="60">
        <v>0</v>
      </c>
      <c r="H13" s="142">
        <v>0</v>
      </c>
      <c r="I13" s="142">
        <f>E13+F13+H13</f>
        <v>11346006</v>
      </c>
      <c r="J13" s="8">
        <f>I13/I14</f>
        <v>9.1671630473569091E-3</v>
      </c>
    </row>
    <row r="14" spans="1:12" x14ac:dyDescent="0.25">
      <c r="A14" s="3" t="s">
        <v>19</v>
      </c>
      <c r="B14" s="5">
        <f>SUM(B6:B13)</f>
        <v>230</v>
      </c>
      <c r="C14" s="5">
        <f>SUM(C6:C13)</f>
        <v>90</v>
      </c>
      <c r="D14" s="3" t="s">
        <v>631</v>
      </c>
      <c r="E14" s="7">
        <f t="shared" ref="E14:J14" si="0">SUM(E6:E13)</f>
        <v>276827419</v>
      </c>
      <c r="F14" s="7">
        <f t="shared" si="0"/>
        <v>646427631</v>
      </c>
      <c r="G14" s="5">
        <f t="shared" si="0"/>
        <v>352</v>
      </c>
      <c r="H14" s="7">
        <f t="shared" si="0"/>
        <v>314424038</v>
      </c>
      <c r="I14" s="7">
        <f t="shared" si="0"/>
        <v>1237679088</v>
      </c>
      <c r="J14" s="9">
        <f t="shared" si="0"/>
        <v>1</v>
      </c>
    </row>
    <row r="15" spans="1:12" x14ac:dyDescent="0.25">
      <c r="D15" s="232"/>
    </row>
    <row r="16" spans="1:12" x14ac:dyDescent="0.25">
      <c r="D16" s="232"/>
      <c r="E16" s="24"/>
      <c r="I16" s="24"/>
    </row>
    <row r="17" spans="1:12" x14ac:dyDescent="0.25">
      <c r="A17" s="14" t="s">
        <v>468</v>
      </c>
    </row>
    <row r="18" spans="1:12" x14ac:dyDescent="0.25">
      <c r="I18" s="16"/>
      <c r="J18" s="16"/>
      <c r="K18" s="16"/>
      <c r="L18" s="16"/>
    </row>
    <row r="19" spans="1:12" ht="36" customHeight="1" x14ac:dyDescent="0.25">
      <c r="A19" s="424" t="s">
        <v>28</v>
      </c>
      <c r="B19" s="426" t="s">
        <v>29</v>
      </c>
      <c r="C19" s="427"/>
      <c r="D19" s="424" t="s">
        <v>30</v>
      </c>
      <c r="E19" s="424"/>
      <c r="F19" s="425" t="s">
        <v>9</v>
      </c>
      <c r="G19" s="425"/>
      <c r="H19" s="425" t="s">
        <v>33</v>
      </c>
      <c r="I19" s="235"/>
      <c r="J19" s="36"/>
      <c r="K19" s="236"/>
      <c r="L19" s="36"/>
    </row>
    <row r="20" spans="1:12" ht="150" x14ac:dyDescent="0.25">
      <c r="A20" s="424"/>
      <c r="B20" s="228" t="s">
        <v>6</v>
      </c>
      <c r="C20" s="228" t="s">
        <v>32</v>
      </c>
      <c r="D20" s="228" t="s">
        <v>6</v>
      </c>
      <c r="E20" s="228" t="s">
        <v>32</v>
      </c>
      <c r="F20" s="228" t="s">
        <v>6</v>
      </c>
      <c r="G20" s="228" t="s">
        <v>32</v>
      </c>
      <c r="H20" s="425"/>
      <c r="I20" s="36"/>
      <c r="J20" s="236"/>
      <c r="K20" s="236"/>
      <c r="L20" s="36"/>
    </row>
    <row r="21" spans="1:12" x14ac:dyDescent="0.25">
      <c r="A21" s="2" t="s">
        <v>12</v>
      </c>
      <c r="B21" s="324">
        <f t="shared" ref="B21:B28" si="1">E6</f>
        <v>18220040</v>
      </c>
      <c r="C21" s="233">
        <f t="shared" ref="C21:C29" si="2">B21/H21</f>
        <v>6.8868603513645765E-2</v>
      </c>
      <c r="D21" s="142">
        <f t="shared" ref="D21:D28" si="3">F6</f>
        <v>191443069</v>
      </c>
      <c r="E21" s="8">
        <f t="shared" ref="E21:E29" si="4">D21/H21</f>
        <v>0.72362172719689566</v>
      </c>
      <c r="F21" s="321">
        <f t="shared" ref="F21:F28" si="5">H6</f>
        <v>54899247</v>
      </c>
      <c r="G21" s="8">
        <f t="shared" ref="G21:G29" si="6">F21/H21</f>
        <v>0.20750966928945855</v>
      </c>
      <c r="H21" s="26">
        <f>B21+D21+F21</f>
        <v>264562356</v>
      </c>
      <c r="I21" s="36"/>
      <c r="J21" s="36"/>
      <c r="K21" s="237"/>
      <c r="L21" s="36"/>
    </row>
    <row r="22" spans="1:12" x14ac:dyDescent="0.25">
      <c r="A22" s="2" t="s">
        <v>13</v>
      </c>
      <c r="B22" s="324">
        <f t="shared" si="1"/>
        <v>118470157</v>
      </c>
      <c r="C22" s="233">
        <f t="shared" si="2"/>
        <v>0.37741789730054331</v>
      </c>
      <c r="D22" s="142">
        <f t="shared" si="3"/>
        <v>154214890</v>
      </c>
      <c r="E22" s="8">
        <f t="shared" si="4"/>
        <v>0.49129216158829425</v>
      </c>
      <c r="F22" s="321">
        <f t="shared" si="5"/>
        <v>41211453</v>
      </c>
      <c r="G22" s="8">
        <f t="shared" si="6"/>
        <v>0.13128994111116243</v>
      </c>
      <c r="H22" s="26">
        <f t="shared" ref="H22:H28" si="7">B22+D22+F22</f>
        <v>313896500</v>
      </c>
      <c r="I22" s="36"/>
      <c r="J22" s="36"/>
      <c r="K22" s="237"/>
      <c r="L22" s="36"/>
    </row>
    <row r="23" spans="1:12" x14ac:dyDescent="0.25">
      <c r="A23" s="2" t="s">
        <v>14</v>
      </c>
      <c r="B23" s="324">
        <f t="shared" si="1"/>
        <v>30320403</v>
      </c>
      <c r="C23" s="233">
        <f t="shared" si="2"/>
        <v>0.23629017541031436</v>
      </c>
      <c r="D23" s="142">
        <f t="shared" si="3"/>
        <v>95820411</v>
      </c>
      <c r="E23" s="8">
        <f t="shared" si="4"/>
        <v>0.74673881224726513</v>
      </c>
      <c r="F23" s="321">
        <f t="shared" si="5"/>
        <v>2177695</v>
      </c>
      <c r="G23" s="8">
        <f t="shared" si="6"/>
        <v>1.697101234242053E-2</v>
      </c>
      <c r="H23" s="26">
        <f t="shared" si="7"/>
        <v>128318509</v>
      </c>
      <c r="I23" s="36"/>
      <c r="J23" s="36"/>
      <c r="K23" s="237"/>
      <c r="L23" s="36"/>
    </row>
    <row r="24" spans="1:12" x14ac:dyDescent="0.25">
      <c r="A24" s="2" t="s">
        <v>677</v>
      </c>
      <c r="B24" s="324">
        <f t="shared" si="1"/>
        <v>25820171</v>
      </c>
      <c r="C24" s="233">
        <f t="shared" si="2"/>
        <v>0.20803708656286882</v>
      </c>
      <c r="D24" s="142">
        <f t="shared" si="3"/>
        <v>81632020</v>
      </c>
      <c r="E24" s="8">
        <f t="shared" si="4"/>
        <v>0.65772173278952484</v>
      </c>
      <c r="F24" s="321">
        <f t="shared" si="5"/>
        <v>16661117</v>
      </c>
      <c r="G24" s="8">
        <f t="shared" si="6"/>
        <v>0.13424118064760629</v>
      </c>
      <c r="H24" s="26">
        <f t="shared" si="7"/>
        <v>124113308</v>
      </c>
      <c r="I24" s="36"/>
      <c r="J24" s="36"/>
      <c r="K24" s="237"/>
      <c r="L24" s="36"/>
    </row>
    <row r="25" spans="1:12" x14ac:dyDescent="0.25">
      <c r="A25" s="2" t="s">
        <v>15</v>
      </c>
      <c r="B25" s="324">
        <f t="shared" si="1"/>
        <v>55229607</v>
      </c>
      <c r="C25" s="233">
        <f t="shared" si="2"/>
        <v>0.2075559650099717</v>
      </c>
      <c r="D25" s="142">
        <f t="shared" si="3"/>
        <v>75865405</v>
      </c>
      <c r="E25" s="8">
        <f t="shared" si="4"/>
        <v>0.28510645287856806</v>
      </c>
      <c r="F25" s="321">
        <f t="shared" si="5"/>
        <v>135000000</v>
      </c>
      <c r="G25" s="8">
        <f t="shared" si="6"/>
        <v>0.50733758211146029</v>
      </c>
      <c r="H25" s="26">
        <f t="shared" si="7"/>
        <v>266095012</v>
      </c>
      <c r="I25" s="36"/>
      <c r="J25" s="36"/>
      <c r="K25" s="237"/>
      <c r="L25" s="36"/>
    </row>
    <row r="26" spans="1:12" x14ac:dyDescent="0.25">
      <c r="A26" s="2" t="s">
        <v>16</v>
      </c>
      <c r="B26" s="324">
        <f t="shared" si="1"/>
        <v>5949300</v>
      </c>
      <c r="C26" s="233">
        <f t="shared" si="2"/>
        <v>0.42159187018544786</v>
      </c>
      <c r="D26" s="142">
        <f t="shared" si="3"/>
        <v>8162215</v>
      </c>
      <c r="E26" s="8">
        <f t="shared" si="4"/>
        <v>0.57840812981455214</v>
      </c>
      <c r="F26" s="321">
        <f t="shared" si="5"/>
        <v>0</v>
      </c>
      <c r="G26" s="8">
        <f t="shared" si="6"/>
        <v>0</v>
      </c>
      <c r="H26" s="26">
        <f t="shared" si="7"/>
        <v>14111515</v>
      </c>
      <c r="I26" s="36"/>
      <c r="J26" s="36"/>
      <c r="K26" s="237"/>
      <c r="L26" s="36"/>
    </row>
    <row r="27" spans="1:12" x14ac:dyDescent="0.25">
      <c r="A27" s="2" t="s">
        <v>17</v>
      </c>
      <c r="B27" s="324">
        <f t="shared" si="1"/>
        <v>20897307</v>
      </c>
      <c r="C27" s="233">
        <f t="shared" si="2"/>
        <v>0.18134375020447191</v>
      </c>
      <c r="D27" s="142">
        <f t="shared" si="3"/>
        <v>29864049</v>
      </c>
      <c r="E27" s="8">
        <f t="shared" si="4"/>
        <v>0.25915581572066243</v>
      </c>
      <c r="F27" s="321">
        <f t="shared" si="5"/>
        <v>64474526</v>
      </c>
      <c r="G27" s="8">
        <f t="shared" si="6"/>
        <v>0.55950043407486572</v>
      </c>
      <c r="H27" s="26">
        <f t="shared" si="7"/>
        <v>115235882</v>
      </c>
      <c r="I27" s="36"/>
      <c r="J27" s="36"/>
      <c r="K27" s="237"/>
      <c r="L27" s="36"/>
    </row>
    <row r="28" spans="1:12" x14ac:dyDescent="0.25">
      <c r="A28" s="2" t="s">
        <v>18</v>
      </c>
      <c r="B28" s="324">
        <f t="shared" si="1"/>
        <v>1920434</v>
      </c>
      <c r="C28" s="233">
        <f t="shared" si="2"/>
        <v>0.16926079538473715</v>
      </c>
      <c r="D28" s="142">
        <f t="shared" si="3"/>
        <v>9425572</v>
      </c>
      <c r="E28" s="8">
        <f t="shared" si="4"/>
        <v>0.83073920461526285</v>
      </c>
      <c r="F28" s="321">
        <f t="shared" si="5"/>
        <v>0</v>
      </c>
      <c r="G28" s="8">
        <f t="shared" si="6"/>
        <v>0</v>
      </c>
      <c r="H28" s="26">
        <f t="shared" si="7"/>
        <v>11346006</v>
      </c>
      <c r="I28" s="36"/>
      <c r="J28" s="36"/>
      <c r="K28" s="237"/>
      <c r="L28" s="36"/>
    </row>
    <row r="29" spans="1:12" x14ac:dyDescent="0.25">
      <c r="A29" s="3" t="s">
        <v>19</v>
      </c>
      <c r="B29" s="325">
        <f>SUM(B21:B28)</f>
        <v>276827419</v>
      </c>
      <c r="C29" s="234">
        <f t="shared" si="2"/>
        <v>0.22366655596268747</v>
      </c>
      <c r="D29" s="7">
        <f>SUM(D21:D28)</f>
        <v>646427631</v>
      </c>
      <c r="E29" s="9">
        <f t="shared" si="4"/>
        <v>0.52229017785586118</v>
      </c>
      <c r="F29" s="239">
        <f>SUM(F21:F28)</f>
        <v>314424038</v>
      </c>
      <c r="G29" s="9">
        <f t="shared" si="6"/>
        <v>0.2540432661814514</v>
      </c>
      <c r="H29" s="239">
        <f>SUM(H21:K28)</f>
        <v>1237679088</v>
      </c>
      <c r="I29" s="36"/>
      <c r="J29" s="36"/>
      <c r="K29" s="238"/>
      <c r="L29" s="36"/>
    </row>
    <row r="30" spans="1:12" x14ac:dyDescent="0.25">
      <c r="I30" s="16"/>
      <c r="J30" s="16"/>
      <c r="K30" s="16"/>
      <c r="L30" s="16"/>
    </row>
    <row r="32" spans="1:12" x14ac:dyDescent="0.25">
      <c r="A32" s="14" t="s">
        <v>469</v>
      </c>
    </row>
    <row r="34" spans="1:13" ht="29.25" customHeight="1" x14ac:dyDescent="0.25">
      <c r="A34" s="424" t="s">
        <v>28</v>
      </c>
      <c r="B34" s="424" t="s">
        <v>429</v>
      </c>
      <c r="C34" s="424"/>
      <c r="D34" s="424"/>
      <c r="E34" s="424"/>
      <c r="F34" s="424" t="s">
        <v>470</v>
      </c>
      <c r="G34" s="424"/>
      <c r="H34" s="424"/>
      <c r="I34" s="424"/>
      <c r="J34" s="425" t="s">
        <v>514</v>
      </c>
      <c r="K34" s="425"/>
      <c r="L34" s="425"/>
      <c r="M34" s="425"/>
    </row>
    <row r="35" spans="1:13" ht="75" x14ac:dyDescent="0.25">
      <c r="A35" s="424"/>
      <c r="B35" s="424" t="s">
        <v>29</v>
      </c>
      <c r="C35" s="424"/>
      <c r="D35" s="228" t="s">
        <v>30</v>
      </c>
      <c r="E35" s="228" t="s">
        <v>31</v>
      </c>
      <c r="F35" s="424" t="s">
        <v>29</v>
      </c>
      <c r="G35" s="424"/>
      <c r="H35" s="228" t="s">
        <v>30</v>
      </c>
      <c r="I35" s="228" t="s">
        <v>31</v>
      </c>
      <c r="J35" s="424" t="s">
        <v>29</v>
      </c>
      <c r="K35" s="424"/>
      <c r="L35" s="228" t="s">
        <v>30</v>
      </c>
      <c r="M35" s="228" t="s">
        <v>31</v>
      </c>
    </row>
    <row r="36" spans="1:13" ht="60" x14ac:dyDescent="0.25">
      <c r="A36" s="424"/>
      <c r="B36" s="227" t="s">
        <v>39</v>
      </c>
      <c r="C36" s="227" t="s">
        <v>6</v>
      </c>
      <c r="D36" s="227" t="s">
        <v>6</v>
      </c>
      <c r="E36" s="227" t="s">
        <v>6</v>
      </c>
      <c r="F36" s="227" t="s">
        <v>39</v>
      </c>
      <c r="G36" s="227" t="s">
        <v>6</v>
      </c>
      <c r="H36" s="227" t="s">
        <v>6</v>
      </c>
      <c r="I36" s="227" t="s">
        <v>6</v>
      </c>
      <c r="J36" s="227" t="s">
        <v>39</v>
      </c>
      <c r="K36" s="227" t="s">
        <v>6</v>
      </c>
      <c r="L36" s="227" t="s">
        <v>6</v>
      </c>
      <c r="M36" s="227" t="s">
        <v>6</v>
      </c>
    </row>
    <row r="37" spans="1:13" x14ac:dyDescent="0.25">
      <c r="A37" s="10" t="s">
        <v>12</v>
      </c>
      <c r="B37" s="2">
        <v>5</v>
      </c>
      <c r="C37" s="6">
        <v>7870028</v>
      </c>
      <c r="D37" s="6">
        <v>69673241</v>
      </c>
      <c r="E37" s="6">
        <v>52163751</v>
      </c>
      <c r="F37" s="60">
        <v>5</v>
      </c>
      <c r="G37" s="6">
        <f t="shared" ref="G37:H44" si="8">E6</f>
        <v>18220040</v>
      </c>
      <c r="H37" s="6">
        <f t="shared" si="8"/>
        <v>191443069</v>
      </c>
      <c r="I37" s="6">
        <f t="shared" ref="I37:I44" si="9">H6</f>
        <v>54899247</v>
      </c>
      <c r="J37" s="8">
        <f>(F37-B37)/B37</f>
        <v>0</v>
      </c>
      <c r="K37" s="8">
        <f>(G37-C37)/C37</f>
        <v>1.3151175573962379</v>
      </c>
      <c r="L37" s="8">
        <f>(H37-D37)/D37</f>
        <v>1.7477273376732969</v>
      </c>
      <c r="M37" s="8">
        <f>(I37-E37)/E37</f>
        <v>5.2440553977799641E-2</v>
      </c>
    </row>
    <row r="38" spans="1:13" x14ac:dyDescent="0.25">
      <c r="A38" s="2" t="s">
        <v>13</v>
      </c>
      <c r="B38" s="2">
        <v>46</v>
      </c>
      <c r="C38" s="6">
        <v>289295438</v>
      </c>
      <c r="D38" s="6">
        <v>444456538</v>
      </c>
      <c r="E38" s="6">
        <v>45392495</v>
      </c>
      <c r="F38" s="60">
        <v>45</v>
      </c>
      <c r="G38" s="6">
        <f t="shared" si="8"/>
        <v>118470157</v>
      </c>
      <c r="H38" s="6">
        <f t="shared" si="8"/>
        <v>154214890</v>
      </c>
      <c r="I38" s="6">
        <f t="shared" si="9"/>
        <v>41211453</v>
      </c>
      <c r="J38" s="8">
        <f t="shared" ref="J38:M45" si="10">(F38-B38)/B38</f>
        <v>-2.1739130434782608E-2</v>
      </c>
      <c r="K38" s="8">
        <f t="shared" si="10"/>
        <v>-0.59048729624281182</v>
      </c>
      <c r="L38" s="8">
        <f t="shared" si="10"/>
        <v>-0.65302593883769122</v>
      </c>
      <c r="M38" s="8">
        <f>(I38-E38)/E38</f>
        <v>-9.2108662456205595E-2</v>
      </c>
    </row>
    <row r="39" spans="1:13" x14ac:dyDescent="0.25">
      <c r="A39" s="2" t="s">
        <v>14</v>
      </c>
      <c r="B39" s="2">
        <v>5</v>
      </c>
      <c r="C39" s="6">
        <v>4457918</v>
      </c>
      <c r="D39" s="6">
        <v>61183938</v>
      </c>
      <c r="E39" s="6">
        <v>2555464</v>
      </c>
      <c r="F39" s="60">
        <v>10</v>
      </c>
      <c r="G39" s="6">
        <f t="shared" si="8"/>
        <v>30320403</v>
      </c>
      <c r="H39" s="6">
        <f t="shared" si="8"/>
        <v>95820411</v>
      </c>
      <c r="I39" s="6">
        <f t="shared" si="9"/>
        <v>2177695</v>
      </c>
      <c r="J39" s="8">
        <f t="shared" si="10"/>
        <v>1</v>
      </c>
      <c r="K39" s="8">
        <f t="shared" si="10"/>
        <v>5.8014716735480558</v>
      </c>
      <c r="L39" s="8">
        <f t="shared" si="10"/>
        <v>0.56610401573040292</v>
      </c>
      <c r="M39" s="8">
        <f>(I39-E39)/E39</f>
        <v>-0.14782794827084239</v>
      </c>
    </row>
    <row r="40" spans="1:13" x14ac:dyDescent="0.25">
      <c r="A40" s="10" t="s">
        <v>677</v>
      </c>
      <c r="B40" s="2">
        <v>16</v>
      </c>
      <c r="C40" s="6">
        <v>35441604</v>
      </c>
      <c r="D40" s="6">
        <v>81989872</v>
      </c>
      <c r="E40" s="6">
        <v>21267963</v>
      </c>
      <c r="F40" s="60">
        <v>11</v>
      </c>
      <c r="G40" s="6">
        <f t="shared" si="8"/>
        <v>25820171</v>
      </c>
      <c r="H40" s="6">
        <f t="shared" si="8"/>
        <v>81632020</v>
      </c>
      <c r="I40" s="6">
        <f t="shared" si="9"/>
        <v>16661117</v>
      </c>
      <c r="J40" s="8">
        <f t="shared" si="10"/>
        <v>-0.3125</v>
      </c>
      <c r="K40" s="8">
        <f t="shared" si="10"/>
        <v>-0.27147284304626845</v>
      </c>
      <c r="L40" s="8">
        <f t="shared" si="10"/>
        <v>-4.3645878603152354E-3</v>
      </c>
      <c r="M40" s="8">
        <f t="shared" si="10"/>
        <v>-0.21660964898236845</v>
      </c>
    </row>
    <row r="41" spans="1:13" x14ac:dyDescent="0.25">
      <c r="A41" s="10" t="s">
        <v>15</v>
      </c>
      <c r="B41" s="2">
        <v>18</v>
      </c>
      <c r="C41" s="6">
        <v>283043980</v>
      </c>
      <c r="D41" s="6">
        <v>63039952</v>
      </c>
      <c r="E41" s="6">
        <v>0</v>
      </c>
      <c r="F41" s="60">
        <v>9</v>
      </c>
      <c r="G41" s="6">
        <f t="shared" si="8"/>
        <v>55229607</v>
      </c>
      <c r="H41" s="6">
        <f t="shared" si="8"/>
        <v>75865405</v>
      </c>
      <c r="I41" s="6">
        <f t="shared" si="9"/>
        <v>135000000</v>
      </c>
      <c r="J41" s="8">
        <f t="shared" si="10"/>
        <v>-0.5</v>
      </c>
      <c r="K41" s="8">
        <f t="shared" si="10"/>
        <v>-0.80487270211505646</v>
      </c>
      <c r="L41" s="8">
        <f t="shared" si="10"/>
        <v>0.20344959970781704</v>
      </c>
      <c r="M41" s="8">
        <v>0</v>
      </c>
    </row>
    <row r="42" spans="1:13" x14ac:dyDescent="0.25">
      <c r="A42" s="10" t="s">
        <v>16</v>
      </c>
      <c r="B42" s="2">
        <v>2</v>
      </c>
      <c r="C42" s="6">
        <v>10000000</v>
      </c>
      <c r="D42" s="6">
        <v>4774592</v>
      </c>
      <c r="E42" s="6">
        <v>0</v>
      </c>
      <c r="F42" s="60">
        <v>3</v>
      </c>
      <c r="G42" s="6">
        <f t="shared" si="8"/>
        <v>5949300</v>
      </c>
      <c r="H42" s="6">
        <f t="shared" si="8"/>
        <v>8162215</v>
      </c>
      <c r="I42" s="6">
        <f t="shared" si="9"/>
        <v>0</v>
      </c>
      <c r="J42" s="8">
        <f t="shared" si="10"/>
        <v>0.5</v>
      </c>
      <c r="K42" s="8">
        <f t="shared" si="10"/>
        <v>-0.40506999999999999</v>
      </c>
      <c r="L42" s="8">
        <f t="shared" si="10"/>
        <v>0.70951046707236975</v>
      </c>
      <c r="M42" s="8">
        <v>0</v>
      </c>
    </row>
    <row r="43" spans="1:13" x14ac:dyDescent="0.25">
      <c r="A43" s="2" t="s">
        <v>17</v>
      </c>
      <c r="B43" s="2">
        <v>3</v>
      </c>
      <c r="C43" s="6">
        <v>11777007</v>
      </c>
      <c r="D43" s="6">
        <v>24576754</v>
      </c>
      <c r="E43" s="6">
        <v>0</v>
      </c>
      <c r="F43" s="60">
        <v>5</v>
      </c>
      <c r="G43" s="6">
        <f t="shared" si="8"/>
        <v>20897307</v>
      </c>
      <c r="H43" s="6">
        <f t="shared" si="8"/>
        <v>29864049</v>
      </c>
      <c r="I43" s="6">
        <f t="shared" si="9"/>
        <v>64474526</v>
      </c>
      <c r="J43" s="8">
        <f t="shared" si="10"/>
        <v>0.66666666666666663</v>
      </c>
      <c r="K43" s="8">
        <f t="shared" si="10"/>
        <v>0.77441577473801282</v>
      </c>
      <c r="L43" s="8">
        <f t="shared" si="10"/>
        <v>0.21513398392643715</v>
      </c>
      <c r="M43" s="8">
        <v>0</v>
      </c>
    </row>
    <row r="44" spans="1:13" x14ac:dyDescent="0.25">
      <c r="A44" s="2" t="s">
        <v>18</v>
      </c>
      <c r="B44" s="2">
        <v>3</v>
      </c>
      <c r="C44" s="6">
        <v>6740253</v>
      </c>
      <c r="D44" s="6">
        <v>9911998</v>
      </c>
      <c r="E44" s="6">
        <v>0</v>
      </c>
      <c r="F44" s="60">
        <v>2</v>
      </c>
      <c r="G44" s="6">
        <f t="shared" si="8"/>
        <v>1920434</v>
      </c>
      <c r="H44" s="6">
        <f t="shared" si="8"/>
        <v>9425572</v>
      </c>
      <c r="I44" s="6">
        <f t="shared" si="9"/>
        <v>0</v>
      </c>
      <c r="J44" s="8">
        <f t="shared" si="10"/>
        <v>-0.33333333333333331</v>
      </c>
      <c r="K44" s="8">
        <f t="shared" si="10"/>
        <v>-0.71507983454033552</v>
      </c>
      <c r="L44" s="8">
        <f t="shared" si="10"/>
        <v>-4.9074465107842032E-2</v>
      </c>
      <c r="M44" s="8">
        <v>0</v>
      </c>
    </row>
    <row r="45" spans="1:13" x14ac:dyDescent="0.25">
      <c r="A45" s="3" t="s">
        <v>19</v>
      </c>
      <c r="B45" s="5">
        <f t="shared" ref="B45:I45" si="11">SUM(B37:B44)</f>
        <v>98</v>
      </c>
      <c r="C45" s="7">
        <f t="shared" si="11"/>
        <v>648626228</v>
      </c>
      <c r="D45" s="7">
        <f t="shared" si="11"/>
        <v>759606885</v>
      </c>
      <c r="E45" s="7">
        <f t="shared" si="11"/>
        <v>121379673</v>
      </c>
      <c r="F45" s="5">
        <f>SUM(F37:F44)</f>
        <v>90</v>
      </c>
      <c r="G45" s="7">
        <f t="shared" si="11"/>
        <v>276827419</v>
      </c>
      <c r="H45" s="7">
        <f t="shared" si="11"/>
        <v>646427631</v>
      </c>
      <c r="I45" s="7">
        <f t="shared" si="11"/>
        <v>314424038</v>
      </c>
      <c r="J45" s="9">
        <f t="shared" si="10"/>
        <v>-8.1632653061224483E-2</v>
      </c>
      <c r="K45" s="9">
        <f t="shared" si="10"/>
        <v>-0.57320964362853366</v>
      </c>
      <c r="L45" s="9">
        <f t="shared" si="10"/>
        <v>-0.14899714080395676</v>
      </c>
      <c r="M45" s="9">
        <f t="shared" si="10"/>
        <v>1.590417573459767</v>
      </c>
    </row>
    <row r="47" spans="1:13" x14ac:dyDescent="0.25">
      <c r="C47" s="24"/>
      <c r="D47" s="24"/>
      <c r="G47" s="24"/>
    </row>
    <row r="48" spans="1:13" x14ac:dyDescent="0.25">
      <c r="D48" s="24"/>
      <c r="H48" s="24"/>
    </row>
  </sheetData>
  <mergeCells count="20">
    <mergeCell ref="A3:A5"/>
    <mergeCell ref="A1:L1"/>
    <mergeCell ref="C4:E4"/>
    <mergeCell ref="C3:E3"/>
    <mergeCell ref="G4:H4"/>
    <mergeCell ref="F3:H3"/>
    <mergeCell ref="I3:J4"/>
    <mergeCell ref="B3:B5"/>
    <mergeCell ref="A19:A20"/>
    <mergeCell ref="B19:C19"/>
    <mergeCell ref="D19:E19"/>
    <mergeCell ref="F19:G19"/>
    <mergeCell ref="H19:H20"/>
    <mergeCell ref="A34:A36"/>
    <mergeCell ref="B34:E34"/>
    <mergeCell ref="F34:I34"/>
    <mergeCell ref="J34:M34"/>
    <mergeCell ref="B35:C35"/>
    <mergeCell ref="F35:G35"/>
    <mergeCell ref="J35:K35"/>
  </mergeCells>
  <conditionalFormatting sqref="J6:J13">
    <cfRule type="colorScale" priority="9">
      <colorScale>
        <cfvo type="min"/>
        <cfvo type="percentile" val="50"/>
        <cfvo type="max"/>
        <color rgb="FFF8696B"/>
        <color rgb="FFFCFCFF"/>
        <color rgb="FF63BE7B"/>
      </colorScale>
    </cfRule>
  </conditionalFormatting>
  <conditionalFormatting sqref="E6:E13">
    <cfRule type="top10" dxfId="40" priority="7" percent="1" rank="10"/>
  </conditionalFormatting>
  <conditionalFormatting sqref="F6:F13">
    <cfRule type="top10" dxfId="39" priority="6" percent="1" rank="10"/>
  </conditionalFormatting>
  <conditionalFormatting sqref="H6:H13">
    <cfRule type="top10" dxfId="38" priority="5" percent="1" rank="10"/>
  </conditionalFormatting>
  <conditionalFormatting sqref="C21:C28">
    <cfRule type="colorScale" priority="4">
      <colorScale>
        <cfvo type="min"/>
        <cfvo type="percentile" val="50"/>
        <cfvo type="max"/>
        <color rgb="FFF8696B"/>
        <color rgb="FFFCFCFF"/>
        <color rgb="FF63BE7B"/>
      </colorScale>
    </cfRule>
  </conditionalFormatting>
  <conditionalFormatting sqref="G21:G28">
    <cfRule type="colorScale" priority="2">
      <colorScale>
        <cfvo type="min"/>
        <cfvo type="percentile" val="50"/>
        <cfvo type="max"/>
        <color rgb="FFF8696B"/>
        <color rgb="FFFCFCFF"/>
        <color rgb="FF63BE7B"/>
      </colorScale>
    </cfRule>
  </conditionalFormatting>
  <conditionalFormatting sqref="E21:E28">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workbookViewId="0">
      <selection activeCell="M34" sqref="M34"/>
    </sheetView>
  </sheetViews>
  <sheetFormatPr defaultRowHeight="15" x14ac:dyDescent="0.25"/>
  <cols>
    <col min="1" max="1" width="23.140625" customWidth="1"/>
  </cols>
  <sheetData>
    <row r="1" spans="1:9" ht="30.75" customHeight="1" x14ac:dyDescent="0.25">
      <c r="A1" s="419" t="s">
        <v>675</v>
      </c>
      <c r="B1" s="419"/>
      <c r="C1" s="419"/>
      <c r="D1" s="419"/>
      <c r="E1" s="419"/>
      <c r="F1" s="419"/>
      <c r="G1" s="419"/>
      <c r="H1" s="419"/>
    </row>
    <row r="16" spans="1:9" ht="15.75" thickBot="1" x14ac:dyDescent="0.3">
      <c r="A16" s="309"/>
      <c r="B16" s="309" t="s">
        <v>22</v>
      </c>
      <c r="C16" s="309" t="s">
        <v>23</v>
      </c>
      <c r="D16" s="309" t="s">
        <v>24</v>
      </c>
      <c r="E16" s="309" t="s">
        <v>25</v>
      </c>
      <c r="F16" s="309" t="s">
        <v>26</v>
      </c>
      <c r="G16" s="309" t="s">
        <v>27</v>
      </c>
      <c r="H16" s="309" t="s">
        <v>429</v>
      </c>
      <c r="I16" s="82" t="s">
        <v>470</v>
      </c>
    </row>
    <row r="17" spans="1:9" ht="45.75" thickTop="1" x14ac:dyDescent="0.25">
      <c r="A17" s="11" t="s">
        <v>20</v>
      </c>
      <c r="B17" s="12">
        <v>247</v>
      </c>
      <c r="C17" s="12">
        <v>228</v>
      </c>
      <c r="D17" s="12">
        <v>240</v>
      </c>
      <c r="E17" s="12">
        <v>238</v>
      </c>
      <c r="F17" s="12">
        <v>221</v>
      </c>
      <c r="G17" s="12">
        <v>235</v>
      </c>
      <c r="H17" s="266">
        <v>228</v>
      </c>
      <c r="I17" s="111">
        <v>230</v>
      </c>
    </row>
    <row r="18" spans="1:9" ht="30" x14ac:dyDescent="0.25">
      <c r="A18" s="10" t="s">
        <v>21</v>
      </c>
      <c r="B18" s="2">
        <v>1337.8</v>
      </c>
      <c r="C18" s="2">
        <v>867.2</v>
      </c>
      <c r="D18" s="2">
        <v>1496.6</v>
      </c>
      <c r="E18" s="2">
        <v>1305.0999999999999</v>
      </c>
      <c r="F18" s="2">
        <v>1632.9</v>
      </c>
      <c r="G18" s="2">
        <v>1296.7</v>
      </c>
      <c r="H18" s="111">
        <v>1529.6</v>
      </c>
      <c r="I18" s="111">
        <v>1237.5999999999999</v>
      </c>
    </row>
    <row r="19" spans="1:9" x14ac:dyDescent="0.25">
      <c r="A19" s="15"/>
      <c r="B19" s="16"/>
      <c r="C19" s="16"/>
      <c r="D19" s="16"/>
      <c r="E19" s="16"/>
      <c r="F19" s="16"/>
      <c r="G19" s="16"/>
    </row>
    <row r="20" spans="1:9" x14ac:dyDescent="0.25">
      <c r="A20" s="431" t="s">
        <v>471</v>
      </c>
      <c r="B20" s="431"/>
      <c r="C20" s="431"/>
      <c r="D20" s="431"/>
      <c r="E20" s="431"/>
      <c r="F20" s="431"/>
      <c r="G20" s="431"/>
      <c r="H20" s="431"/>
    </row>
    <row r="21" spans="1:9" x14ac:dyDescent="0.25">
      <c r="A21" s="82" t="s">
        <v>28</v>
      </c>
      <c r="B21" s="82" t="s">
        <v>22</v>
      </c>
      <c r="C21" s="82" t="s">
        <v>23</v>
      </c>
      <c r="D21" s="82" t="s">
        <v>24</v>
      </c>
      <c r="E21" s="82" t="s">
        <v>25</v>
      </c>
      <c r="F21" s="82" t="s">
        <v>26</v>
      </c>
      <c r="G21" s="82" t="s">
        <v>27</v>
      </c>
      <c r="H21" s="82" t="s">
        <v>429</v>
      </c>
      <c r="I21" s="322" t="s">
        <v>470</v>
      </c>
    </row>
    <row r="22" spans="1:9" x14ac:dyDescent="0.25">
      <c r="A22" s="2" t="s">
        <v>12</v>
      </c>
      <c r="B22" s="2">
        <v>104</v>
      </c>
      <c r="C22" s="2">
        <v>95</v>
      </c>
      <c r="D22" s="2">
        <v>55</v>
      </c>
      <c r="E22" s="2">
        <v>52</v>
      </c>
      <c r="F22" s="2">
        <v>53</v>
      </c>
      <c r="G22" s="2">
        <v>65</v>
      </c>
      <c r="H22" s="111">
        <v>64</v>
      </c>
      <c r="I22" s="2">
        <v>69</v>
      </c>
    </row>
    <row r="23" spans="1:9" x14ac:dyDescent="0.25">
      <c r="A23" s="2" t="s">
        <v>13</v>
      </c>
      <c r="B23" s="2">
        <v>3</v>
      </c>
      <c r="C23" s="2">
        <v>4</v>
      </c>
      <c r="D23" s="2">
        <v>4</v>
      </c>
      <c r="E23" s="2">
        <v>4</v>
      </c>
      <c r="F23" s="2">
        <v>4</v>
      </c>
      <c r="G23" s="2">
        <v>4</v>
      </c>
      <c r="H23" s="111">
        <v>4</v>
      </c>
      <c r="I23" s="2">
        <v>4</v>
      </c>
    </row>
    <row r="24" spans="1:9" x14ac:dyDescent="0.25">
      <c r="A24" s="2" t="s">
        <v>14</v>
      </c>
      <c r="B24" s="2">
        <v>70</v>
      </c>
      <c r="C24" s="2">
        <v>70</v>
      </c>
      <c r="D24" s="2">
        <v>118</v>
      </c>
      <c r="E24" s="2">
        <v>119</v>
      </c>
      <c r="F24" s="2">
        <v>101</v>
      </c>
      <c r="G24" s="2">
        <v>103</v>
      </c>
      <c r="H24" s="111">
        <v>101</v>
      </c>
      <c r="I24" s="2">
        <v>103</v>
      </c>
    </row>
    <row r="25" spans="1:9" x14ac:dyDescent="0.25">
      <c r="A25" s="2" t="s">
        <v>677</v>
      </c>
      <c r="B25" s="2">
        <v>5</v>
      </c>
      <c r="C25" s="2">
        <v>5</v>
      </c>
      <c r="D25" s="2">
        <v>6</v>
      </c>
      <c r="E25" s="2">
        <v>7</v>
      </c>
      <c r="F25" s="2">
        <v>6</v>
      </c>
      <c r="G25" s="2">
        <v>5</v>
      </c>
      <c r="H25" s="111">
        <v>4</v>
      </c>
      <c r="I25" s="2">
        <v>4</v>
      </c>
    </row>
    <row r="26" spans="1:9" x14ac:dyDescent="0.25">
      <c r="A26" s="2" t="s">
        <v>676</v>
      </c>
      <c r="B26" s="2">
        <v>50</v>
      </c>
      <c r="C26" s="2">
        <v>39</v>
      </c>
      <c r="D26" s="2">
        <v>42</v>
      </c>
      <c r="E26" s="2">
        <v>41</v>
      </c>
      <c r="F26" s="2">
        <v>41</v>
      </c>
      <c r="G26" s="2">
        <v>42</v>
      </c>
      <c r="H26" s="111">
        <v>40</v>
      </c>
      <c r="I26" s="2">
        <v>35</v>
      </c>
    </row>
    <row r="27" spans="1:9" x14ac:dyDescent="0.25">
      <c r="A27" s="2" t="s">
        <v>16</v>
      </c>
      <c r="B27" s="2">
        <v>1</v>
      </c>
      <c r="C27" s="2">
        <v>1</v>
      </c>
      <c r="D27" s="2">
        <v>1</v>
      </c>
      <c r="E27" s="2">
        <v>1</v>
      </c>
      <c r="F27" s="2">
        <v>1</v>
      </c>
      <c r="G27" s="2">
        <v>1</v>
      </c>
      <c r="H27" s="111">
        <v>1</v>
      </c>
      <c r="I27" s="2">
        <v>1</v>
      </c>
    </row>
    <row r="28" spans="1:9" x14ac:dyDescent="0.25">
      <c r="A28" s="2" t="s">
        <v>17</v>
      </c>
      <c r="B28" s="2">
        <v>10</v>
      </c>
      <c r="C28" s="2">
        <v>10</v>
      </c>
      <c r="D28" s="2">
        <v>10</v>
      </c>
      <c r="E28" s="2">
        <v>10</v>
      </c>
      <c r="F28" s="2">
        <v>11</v>
      </c>
      <c r="G28" s="2">
        <v>11</v>
      </c>
      <c r="H28" s="111">
        <v>11</v>
      </c>
      <c r="I28" s="2">
        <v>11</v>
      </c>
    </row>
    <row r="29" spans="1:9" x14ac:dyDescent="0.25">
      <c r="A29" s="2" t="s">
        <v>18</v>
      </c>
      <c r="B29" s="2">
        <v>4</v>
      </c>
      <c r="C29" s="2">
        <v>4</v>
      </c>
      <c r="D29" s="2">
        <v>4</v>
      </c>
      <c r="E29" s="2">
        <v>4</v>
      </c>
      <c r="F29" s="2">
        <v>4</v>
      </c>
      <c r="G29" s="2">
        <v>4</v>
      </c>
      <c r="H29" s="111">
        <v>3</v>
      </c>
      <c r="I29" s="2">
        <v>3</v>
      </c>
    </row>
    <row r="30" spans="1:9" x14ac:dyDescent="0.25">
      <c r="A30" s="310" t="s">
        <v>19</v>
      </c>
      <c r="B30" s="246">
        <f t="shared" ref="B30:G30" si="0">SUM(B22:B29)</f>
        <v>247</v>
      </c>
      <c r="C30" s="246">
        <f t="shared" si="0"/>
        <v>228</v>
      </c>
      <c r="D30" s="246">
        <f t="shared" si="0"/>
        <v>240</v>
      </c>
      <c r="E30" s="246">
        <f t="shared" si="0"/>
        <v>238</v>
      </c>
      <c r="F30" s="246">
        <f t="shared" si="0"/>
        <v>221</v>
      </c>
      <c r="G30" s="246">
        <f t="shared" si="0"/>
        <v>235</v>
      </c>
      <c r="H30" s="246">
        <f>SUM(H22:H29)</f>
        <v>228</v>
      </c>
      <c r="I30" s="326">
        <f>I22+I23+I24+I25+I26+I27+I28+I29</f>
        <v>230</v>
      </c>
    </row>
    <row r="32" spans="1:9" ht="30.75" customHeight="1" x14ac:dyDescent="0.25">
      <c r="A32" s="419" t="s">
        <v>472</v>
      </c>
      <c r="B32" s="419"/>
      <c r="C32" s="419"/>
      <c r="D32" s="419"/>
      <c r="E32" s="419"/>
      <c r="F32" s="419"/>
      <c r="G32" s="419"/>
      <c r="H32" s="419"/>
    </row>
    <row r="47" spans="1:9" x14ac:dyDescent="0.25">
      <c r="A47" s="82"/>
      <c r="B47" s="82" t="s">
        <v>22</v>
      </c>
      <c r="C47" s="82" t="s">
        <v>23</v>
      </c>
      <c r="D47" s="82" t="s">
        <v>24</v>
      </c>
      <c r="E47" s="82" t="s">
        <v>25</v>
      </c>
      <c r="F47" s="82" t="s">
        <v>26</v>
      </c>
      <c r="G47" s="82" t="s">
        <v>27</v>
      </c>
      <c r="H47" s="82" t="s">
        <v>429</v>
      </c>
      <c r="I47" s="82" t="s">
        <v>470</v>
      </c>
    </row>
    <row r="48" spans="1:9" x14ac:dyDescent="0.25">
      <c r="A48" s="2" t="s">
        <v>34</v>
      </c>
      <c r="B48" s="8">
        <f t="shared" ref="B48:G48" si="1">B50/B49</f>
        <v>0.10121457489878542</v>
      </c>
      <c r="C48" s="8">
        <f t="shared" si="1"/>
        <v>0.11842105263157894</v>
      </c>
      <c r="D48" s="8">
        <f t="shared" si="1"/>
        <v>0.11666666666666667</v>
      </c>
      <c r="E48" s="8">
        <f t="shared" si="1"/>
        <v>0.12605042016806722</v>
      </c>
      <c r="F48" s="8">
        <f t="shared" si="1"/>
        <v>0.12669683257918551</v>
      </c>
      <c r="G48" s="8">
        <f t="shared" si="1"/>
        <v>9.3617021276595741E-2</v>
      </c>
      <c r="H48" s="267">
        <f>H50/H49</f>
        <v>9.6491228070175433E-2</v>
      </c>
      <c r="I48" s="8">
        <f>I50/I49</f>
        <v>9.5652173913043481E-2</v>
      </c>
    </row>
    <row r="49" spans="1:9" ht="45" x14ac:dyDescent="0.25">
      <c r="A49" s="10" t="s">
        <v>35</v>
      </c>
      <c r="B49" s="2">
        <f t="shared" ref="B49:G49" si="2">B30</f>
        <v>247</v>
      </c>
      <c r="C49" s="2">
        <f t="shared" si="2"/>
        <v>228</v>
      </c>
      <c r="D49" s="2">
        <f t="shared" si="2"/>
        <v>240</v>
      </c>
      <c r="E49" s="2">
        <f t="shared" si="2"/>
        <v>238</v>
      </c>
      <c r="F49" s="2">
        <f t="shared" si="2"/>
        <v>221</v>
      </c>
      <c r="G49" s="2">
        <f t="shared" si="2"/>
        <v>235</v>
      </c>
      <c r="H49" s="2">
        <v>228</v>
      </c>
      <c r="I49" s="2">
        <v>230</v>
      </c>
    </row>
    <row r="50" spans="1:9" ht="45" x14ac:dyDescent="0.25">
      <c r="A50" s="10" t="s">
        <v>36</v>
      </c>
      <c r="B50" s="2">
        <v>25</v>
      </c>
      <c r="C50" s="2">
        <v>27</v>
      </c>
      <c r="D50" s="2">
        <v>28</v>
      </c>
      <c r="E50" s="2">
        <v>30</v>
      </c>
      <c r="F50" s="2">
        <v>28</v>
      </c>
      <c r="G50" s="2">
        <v>22</v>
      </c>
      <c r="H50" s="111">
        <v>22</v>
      </c>
      <c r="I50" s="2">
        <v>22</v>
      </c>
    </row>
  </sheetData>
  <mergeCells count="3">
    <mergeCell ref="A1:H1"/>
    <mergeCell ref="A20:H20"/>
    <mergeCell ref="A32:H32"/>
  </mergeCells>
  <conditionalFormatting sqref="B17:I17">
    <cfRule type="top10" dxfId="37" priority="11" percent="1" rank="10"/>
    <cfRule type="iconSet" priority="12">
      <iconSet iconSet="3Arrows">
        <cfvo type="percent" val="0"/>
        <cfvo type="percent" val="33"/>
        <cfvo type="percent" val="67"/>
      </iconSet>
    </cfRule>
  </conditionalFormatting>
  <conditionalFormatting sqref="B19:G19">
    <cfRule type="top10" dxfId="36" priority="9" percent="1" rank="10"/>
    <cfRule type="iconSet" priority="10">
      <iconSet iconSet="3Arrows">
        <cfvo type="percent" val="0"/>
        <cfvo type="percent" val="33"/>
        <cfvo type="percent" val="67"/>
      </iconSet>
    </cfRule>
  </conditionalFormatting>
  <conditionalFormatting sqref="B18:I18">
    <cfRule type="top10" dxfId="35" priority="3" percent="1" rank="10"/>
    <cfRule type="iconSet" priority="4">
      <iconSet iconSet="3Arrows">
        <cfvo type="percent" val="0"/>
        <cfvo type="percent" val="33"/>
        <cfvo type="percent" val="67"/>
      </iconSet>
    </cfRule>
  </conditionalFormatting>
  <conditionalFormatting sqref="B50:I50">
    <cfRule type="top10" dxfId="34" priority="1" percent="1" rank="10"/>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14"/>
  <sheetViews>
    <sheetView workbookViewId="0">
      <selection activeCell="O172" sqref="O172"/>
    </sheetView>
  </sheetViews>
  <sheetFormatPr defaultRowHeight="15" x14ac:dyDescent="0.25"/>
  <cols>
    <col min="1" max="1" width="15.7109375" customWidth="1"/>
    <col min="2" max="2" width="12.85546875" bestFit="1" customWidth="1"/>
    <col min="3" max="3" width="12.28515625" bestFit="1" customWidth="1"/>
    <col min="4" max="4" width="11.5703125" bestFit="1" customWidth="1"/>
    <col min="5" max="5" width="11.7109375" customWidth="1"/>
    <col min="6" max="6" width="12.28515625" bestFit="1" customWidth="1"/>
    <col min="12" max="17" width="10" bestFit="1" customWidth="1"/>
    <col min="18" max="19" width="10.85546875" bestFit="1" customWidth="1"/>
  </cols>
  <sheetData>
    <row r="1" spans="1:9" x14ac:dyDescent="0.25">
      <c r="A1" s="14" t="s">
        <v>473</v>
      </c>
    </row>
    <row r="3" spans="1:9" x14ac:dyDescent="0.25">
      <c r="A3" s="82"/>
      <c r="B3" s="327" t="s">
        <v>22</v>
      </c>
      <c r="C3" s="327" t="s">
        <v>23</v>
      </c>
      <c r="D3" s="327" t="s">
        <v>24</v>
      </c>
      <c r="E3" s="327" t="s">
        <v>25</v>
      </c>
      <c r="F3" s="327" t="s">
        <v>26</v>
      </c>
      <c r="G3" s="327" t="s">
        <v>27</v>
      </c>
      <c r="H3" s="327" t="s">
        <v>429</v>
      </c>
      <c r="I3" s="327" t="s">
        <v>470</v>
      </c>
    </row>
    <row r="4" spans="1:9" ht="60" x14ac:dyDescent="0.25">
      <c r="A4" s="10" t="s">
        <v>38</v>
      </c>
      <c r="B4" s="2">
        <v>913.1</v>
      </c>
      <c r="C4" s="2">
        <v>402.5</v>
      </c>
      <c r="D4" s="2">
        <v>991.2</v>
      </c>
      <c r="E4" s="2">
        <v>737.3</v>
      </c>
      <c r="F4" s="2">
        <v>684.1</v>
      </c>
      <c r="G4" s="2">
        <v>367.5</v>
      </c>
      <c r="H4" s="111">
        <v>648.6</v>
      </c>
      <c r="I4" s="2">
        <v>276.8</v>
      </c>
    </row>
    <row r="5" spans="1:9" x14ac:dyDescent="0.25">
      <c r="A5" s="2" t="s">
        <v>39</v>
      </c>
      <c r="B5" s="2">
        <v>76</v>
      </c>
      <c r="C5" s="2">
        <v>95</v>
      </c>
      <c r="D5" s="2">
        <v>101</v>
      </c>
      <c r="E5" s="2">
        <v>111</v>
      </c>
      <c r="F5" s="2">
        <v>119</v>
      </c>
      <c r="G5" s="2">
        <v>93</v>
      </c>
      <c r="H5" s="111">
        <v>98</v>
      </c>
      <c r="I5" s="2">
        <v>90</v>
      </c>
    </row>
    <row r="6" spans="1:9" x14ac:dyDescent="0.25">
      <c r="A6" s="2" t="s">
        <v>40</v>
      </c>
      <c r="B6" s="2">
        <v>109</v>
      </c>
      <c r="C6" s="2">
        <v>134</v>
      </c>
      <c r="D6" s="2">
        <v>148</v>
      </c>
      <c r="E6" s="2">
        <v>380</v>
      </c>
      <c r="F6" s="2">
        <v>152</v>
      </c>
      <c r="G6" s="2">
        <v>273</v>
      </c>
      <c r="H6" s="111">
        <v>146</v>
      </c>
      <c r="I6" s="2">
        <v>270</v>
      </c>
    </row>
    <row r="13" spans="1:9" x14ac:dyDescent="0.25">
      <c r="A13" s="14"/>
    </row>
    <row r="14" spans="1:9" x14ac:dyDescent="0.25">
      <c r="A14" s="14"/>
    </row>
    <row r="15" spans="1:9" x14ac:dyDescent="0.25">
      <c r="A15" s="14"/>
    </row>
    <row r="16" spans="1:9" x14ac:dyDescent="0.25">
      <c r="A16" s="14"/>
    </row>
    <row r="31" spans="1:1" x14ac:dyDescent="0.25">
      <c r="A31" s="14" t="s">
        <v>474</v>
      </c>
    </row>
    <row r="33" spans="1:21" ht="90" x14ac:dyDescent="0.25">
      <c r="A33" s="2"/>
      <c r="B33" s="245" t="s">
        <v>384</v>
      </c>
      <c r="C33" s="245" t="s">
        <v>385</v>
      </c>
      <c r="D33" s="245" t="s">
        <v>680</v>
      </c>
      <c r="E33" s="245" t="s">
        <v>150</v>
      </c>
      <c r="Q33" s="16"/>
      <c r="R33" s="395"/>
      <c r="S33" s="395"/>
      <c r="T33" s="395"/>
      <c r="U33" s="395"/>
    </row>
    <row r="34" spans="1:21" x14ac:dyDescent="0.25">
      <c r="A34" s="2">
        <v>2012</v>
      </c>
      <c r="B34" s="8">
        <v>0.54900000000000004</v>
      </c>
      <c r="C34" s="8">
        <v>0.28000000000000003</v>
      </c>
      <c r="D34" s="8">
        <v>0.17100000000000001</v>
      </c>
      <c r="E34" s="18">
        <v>1804.590796</v>
      </c>
      <c r="Q34" s="16"/>
      <c r="R34" s="122"/>
      <c r="S34" s="122"/>
      <c r="T34" s="122"/>
      <c r="U34" s="403"/>
    </row>
    <row r="35" spans="1:21" x14ac:dyDescent="0.25">
      <c r="A35" s="2">
        <v>2013</v>
      </c>
      <c r="B35" s="8">
        <v>0.56499999999999995</v>
      </c>
      <c r="C35" s="8">
        <v>0.39700000000000002</v>
      </c>
      <c r="D35" s="8">
        <v>3.7999999999999999E-2</v>
      </c>
      <c r="E35" s="18">
        <v>1305.1158720000001</v>
      </c>
      <c r="Q35" s="16"/>
      <c r="R35" s="122"/>
      <c r="S35" s="122"/>
      <c r="T35" s="122"/>
      <c r="U35" s="403"/>
    </row>
    <row r="36" spans="1:21" x14ac:dyDescent="0.25">
      <c r="A36" s="2">
        <v>2014</v>
      </c>
      <c r="B36" s="8">
        <v>0.41899999999999998</v>
      </c>
      <c r="C36" s="8">
        <v>0.41699999999999998</v>
      </c>
      <c r="D36" s="8">
        <v>0.16400000000000001</v>
      </c>
      <c r="E36" s="18">
        <v>1632.9772359999999</v>
      </c>
      <c r="Q36" s="16"/>
      <c r="R36" s="122"/>
      <c r="S36" s="122"/>
      <c r="T36" s="122"/>
      <c r="U36" s="403"/>
    </row>
    <row r="37" spans="1:21" x14ac:dyDescent="0.25">
      <c r="A37" s="2">
        <v>2015</v>
      </c>
      <c r="B37" s="8">
        <v>0.28299999999999997</v>
      </c>
      <c r="C37" s="8">
        <v>0.67900000000000005</v>
      </c>
      <c r="D37" s="8">
        <v>9.8000000000000004E-2</v>
      </c>
      <c r="E37" s="18">
        <v>1296.767325</v>
      </c>
      <c r="Q37" s="16"/>
      <c r="R37" s="122"/>
      <c r="S37" s="122"/>
      <c r="T37" s="122"/>
      <c r="U37" s="403"/>
    </row>
    <row r="38" spans="1:21" x14ac:dyDescent="0.25">
      <c r="A38" s="2">
        <v>2016</v>
      </c>
      <c r="B38" s="8">
        <v>0.42399999999999999</v>
      </c>
      <c r="C38" s="8">
        <v>0.497</v>
      </c>
      <c r="D38" s="8">
        <v>7.9000000000000001E-2</v>
      </c>
      <c r="E38" s="32">
        <v>1529.6</v>
      </c>
      <c r="Q38" s="16"/>
      <c r="R38" s="122"/>
      <c r="S38" s="122"/>
      <c r="T38" s="122"/>
      <c r="U38" s="402"/>
    </row>
    <row r="39" spans="1:21" x14ac:dyDescent="0.25">
      <c r="A39" s="2">
        <v>2017</v>
      </c>
      <c r="B39" s="8">
        <v>0.224</v>
      </c>
      <c r="C39" s="8">
        <v>0.52200000000000002</v>
      </c>
      <c r="D39" s="8">
        <v>0.254</v>
      </c>
      <c r="E39" s="32">
        <v>1237.5999999999999</v>
      </c>
      <c r="Q39" s="16"/>
      <c r="R39" s="122"/>
      <c r="S39" s="122"/>
      <c r="T39" s="122"/>
      <c r="U39" s="402"/>
    </row>
    <row r="40" spans="1:21" x14ac:dyDescent="0.25">
      <c r="Q40" s="16"/>
      <c r="R40" s="16"/>
      <c r="S40" s="16"/>
      <c r="T40" s="16"/>
      <c r="U40" s="16"/>
    </row>
    <row r="58" spans="1:19" x14ac:dyDescent="0.25">
      <c r="A58" s="14" t="s">
        <v>383</v>
      </c>
    </row>
    <row r="59" spans="1:19" x14ac:dyDescent="0.25">
      <c r="A59" s="137"/>
      <c r="B59" s="137"/>
      <c r="C59" s="137"/>
      <c r="D59" s="137"/>
      <c r="E59" s="137"/>
      <c r="F59" s="137"/>
      <c r="G59" s="137"/>
      <c r="H59" s="137"/>
      <c r="I59" s="137"/>
      <c r="J59" s="137"/>
      <c r="K59" s="137"/>
      <c r="L59" s="137"/>
      <c r="M59" s="137"/>
    </row>
    <row r="60" spans="1:19" ht="120" x14ac:dyDescent="0.25">
      <c r="A60" s="82"/>
      <c r="B60" s="245" t="s">
        <v>386</v>
      </c>
      <c r="C60" s="311" t="s">
        <v>387</v>
      </c>
      <c r="D60" s="312" t="s">
        <v>388</v>
      </c>
      <c r="E60" s="244" t="s">
        <v>389</v>
      </c>
      <c r="F60" s="137"/>
      <c r="G60" s="137"/>
      <c r="H60" s="137"/>
      <c r="I60" s="137"/>
      <c r="J60" s="137"/>
      <c r="K60" s="137"/>
      <c r="L60" s="137"/>
      <c r="M60" s="137"/>
      <c r="O60" s="394"/>
      <c r="P60" s="395"/>
      <c r="Q60" s="396"/>
      <c r="R60" s="396"/>
      <c r="S60" s="396"/>
    </row>
    <row r="61" spans="1:19" x14ac:dyDescent="0.25">
      <c r="A61" s="60" t="s">
        <v>25</v>
      </c>
      <c r="B61" s="62">
        <f>(D61-D66)/D66</f>
        <v>-0.25614343198461054</v>
      </c>
      <c r="C61" s="269">
        <f>(E61-E66)/E66</f>
        <v>2.4388963133843693E-2</v>
      </c>
      <c r="D61" s="270">
        <v>737345195</v>
      </c>
      <c r="E61" s="142">
        <v>517758987</v>
      </c>
      <c r="F61" s="137"/>
      <c r="G61" s="137"/>
      <c r="H61" s="137"/>
      <c r="I61" s="137"/>
      <c r="J61" s="137"/>
      <c r="K61" s="137"/>
      <c r="L61" s="137"/>
      <c r="M61" s="137"/>
      <c r="O61" s="394"/>
      <c r="P61" s="394"/>
      <c r="Q61" s="394"/>
      <c r="R61" s="397"/>
      <c r="S61" s="397"/>
    </row>
    <row r="62" spans="1:19" x14ac:dyDescent="0.25">
      <c r="A62" s="60" t="s">
        <v>26</v>
      </c>
      <c r="B62" s="62">
        <f t="shared" ref="B62:C64" si="0">(D62-D61)/D61</f>
        <v>-7.2168433944972007E-2</v>
      </c>
      <c r="C62" s="269">
        <f t="shared" si="0"/>
        <v>0.31401317810442952</v>
      </c>
      <c r="D62" s="270">
        <v>684132147</v>
      </c>
      <c r="E62" s="142">
        <v>680342132</v>
      </c>
      <c r="F62" s="136"/>
      <c r="G62" s="137"/>
      <c r="H62" s="137"/>
      <c r="I62" s="137"/>
      <c r="J62" s="137"/>
      <c r="K62" s="137"/>
      <c r="L62" s="137"/>
      <c r="M62" s="137"/>
      <c r="O62" s="394"/>
      <c r="P62" s="398"/>
      <c r="Q62" s="398"/>
      <c r="R62" s="397"/>
      <c r="S62" s="397"/>
    </row>
    <row r="63" spans="1:19" x14ac:dyDescent="0.25">
      <c r="A63" s="60" t="s">
        <v>27</v>
      </c>
      <c r="B63" s="62">
        <f t="shared" si="0"/>
        <v>-0.46125038910063088</v>
      </c>
      <c r="C63" s="269">
        <f t="shared" si="0"/>
        <v>0.17981119240752827</v>
      </c>
      <c r="D63" s="270">
        <v>368575928</v>
      </c>
      <c r="E63" s="142">
        <v>802675262</v>
      </c>
      <c r="F63" s="136"/>
      <c r="G63" s="137"/>
      <c r="H63" s="137"/>
      <c r="I63" s="137"/>
      <c r="J63" s="137"/>
      <c r="K63" s="137"/>
      <c r="L63" s="137"/>
      <c r="M63" s="137"/>
      <c r="O63" s="394"/>
      <c r="P63" s="398"/>
      <c r="Q63" s="398"/>
      <c r="R63" s="397"/>
      <c r="S63" s="397"/>
    </row>
    <row r="64" spans="1:19" x14ac:dyDescent="0.25">
      <c r="A64" s="60" t="s">
        <v>429</v>
      </c>
      <c r="B64" s="271">
        <f t="shared" si="0"/>
        <v>0.75981711968992183</v>
      </c>
      <c r="C64" s="272">
        <f t="shared" si="0"/>
        <v>-5.3656041289584427E-2</v>
      </c>
      <c r="D64" s="273">
        <v>648626228</v>
      </c>
      <c r="E64" s="141">
        <v>759606885</v>
      </c>
      <c r="F64" s="137"/>
      <c r="G64" s="137"/>
      <c r="H64" s="137"/>
      <c r="I64" s="137"/>
      <c r="J64" s="137"/>
      <c r="K64" s="137"/>
      <c r="L64" s="137"/>
      <c r="M64" s="137"/>
      <c r="O64" s="394"/>
      <c r="P64" s="398"/>
      <c r="Q64" s="398"/>
      <c r="R64" s="397"/>
      <c r="S64" s="397"/>
    </row>
    <row r="65" spans="1:19" x14ac:dyDescent="0.25">
      <c r="A65" s="60" t="s">
        <v>470</v>
      </c>
      <c r="B65" s="271">
        <f>(D65-D64)/D64</f>
        <v>-0.57320964362853366</v>
      </c>
      <c r="C65" s="272">
        <f>(E65-E64)/E64</f>
        <v>-0.14899714080395676</v>
      </c>
      <c r="D65" s="273">
        <v>276827419</v>
      </c>
      <c r="E65" s="141">
        <v>646427631</v>
      </c>
      <c r="F65" s="137"/>
      <c r="G65" s="137"/>
      <c r="H65" s="137"/>
      <c r="I65" s="137"/>
      <c r="J65" s="137"/>
      <c r="K65" s="137"/>
      <c r="L65" s="137"/>
      <c r="M65" s="137"/>
      <c r="O65" s="394"/>
      <c r="P65" s="399"/>
      <c r="Q65" s="400"/>
      <c r="R65" s="401"/>
      <c r="S65" s="401"/>
    </row>
    <row r="66" spans="1:19" x14ac:dyDescent="0.25">
      <c r="A66" s="60" t="s">
        <v>24</v>
      </c>
      <c r="B66" s="60"/>
      <c r="C66" s="274"/>
      <c r="D66" s="270">
        <v>991246467</v>
      </c>
      <c r="E66" s="142">
        <v>505432024</v>
      </c>
      <c r="F66" s="137"/>
      <c r="G66" s="137"/>
      <c r="H66" s="137"/>
      <c r="I66" s="137"/>
      <c r="J66" s="137"/>
      <c r="K66" s="137"/>
      <c r="L66" s="137"/>
      <c r="M66" s="137"/>
      <c r="O66" s="394"/>
      <c r="P66" s="399"/>
      <c r="Q66" s="400"/>
      <c r="R66" s="401"/>
      <c r="S66" s="401"/>
    </row>
    <row r="67" spans="1:19" x14ac:dyDescent="0.25">
      <c r="A67" s="137"/>
      <c r="B67" s="137"/>
      <c r="C67" s="137"/>
      <c r="D67" s="137"/>
      <c r="E67" s="137"/>
      <c r="F67" s="137"/>
      <c r="G67" s="137"/>
      <c r="H67" s="137"/>
      <c r="I67" s="137"/>
      <c r="J67" s="137"/>
      <c r="K67" s="137"/>
      <c r="L67" s="137"/>
      <c r="M67" s="137"/>
    </row>
    <row r="68" spans="1:19" x14ac:dyDescent="0.25">
      <c r="A68" s="137"/>
      <c r="B68" s="137"/>
      <c r="C68" s="137"/>
      <c r="D68" s="137"/>
      <c r="E68" s="137"/>
      <c r="F68" s="137"/>
      <c r="G68" s="137"/>
      <c r="H68" s="137"/>
      <c r="I68" s="137"/>
      <c r="J68" s="137"/>
      <c r="K68" s="137"/>
      <c r="L68" s="137"/>
      <c r="M68" s="137"/>
    </row>
    <row r="69" spans="1:19" x14ac:dyDescent="0.25">
      <c r="A69" s="137"/>
      <c r="B69" s="137"/>
      <c r="C69" s="137"/>
      <c r="D69" s="137"/>
      <c r="E69" s="137"/>
      <c r="F69" s="137"/>
      <c r="G69" s="137"/>
      <c r="H69" s="137"/>
      <c r="I69" s="137"/>
      <c r="J69" s="137"/>
      <c r="K69" s="137"/>
      <c r="L69" s="137"/>
      <c r="M69" s="137"/>
    </row>
    <row r="70" spans="1:19" x14ac:dyDescent="0.25">
      <c r="A70" s="137"/>
      <c r="B70" s="137"/>
      <c r="C70" s="137"/>
      <c r="D70" s="137"/>
      <c r="E70" s="137"/>
      <c r="F70" s="137"/>
      <c r="G70" s="137"/>
      <c r="H70" s="137"/>
      <c r="I70" s="137"/>
      <c r="J70" s="137"/>
      <c r="K70" s="137"/>
      <c r="L70" s="137"/>
      <c r="M70" s="137"/>
    </row>
    <row r="71" spans="1:19" x14ac:dyDescent="0.25">
      <c r="A71" s="137"/>
      <c r="B71" s="137"/>
      <c r="C71" s="137"/>
      <c r="D71" s="137"/>
      <c r="E71" s="137"/>
      <c r="F71" s="137"/>
      <c r="G71" s="137"/>
      <c r="H71" s="137"/>
      <c r="I71" s="137"/>
      <c r="J71" s="137"/>
      <c r="K71" s="137"/>
      <c r="L71" s="137"/>
      <c r="M71" s="137"/>
    </row>
    <row r="72" spans="1:19" x14ac:dyDescent="0.25">
      <c r="A72" s="137"/>
      <c r="B72" s="137"/>
      <c r="C72" s="137"/>
      <c r="D72" s="137"/>
      <c r="E72" s="137"/>
      <c r="F72" s="137"/>
      <c r="G72" s="137"/>
      <c r="H72" s="137"/>
      <c r="I72" s="137"/>
      <c r="J72" s="137"/>
      <c r="K72" s="137"/>
      <c r="L72" s="137"/>
      <c r="M72" s="137"/>
    </row>
    <row r="73" spans="1:19" x14ac:dyDescent="0.25">
      <c r="A73" s="137"/>
      <c r="B73" s="137"/>
      <c r="C73" s="137"/>
      <c r="D73" s="137"/>
      <c r="E73" s="137"/>
      <c r="F73" s="137"/>
      <c r="G73" s="137"/>
      <c r="H73" s="137"/>
      <c r="I73" s="137"/>
      <c r="J73" s="137"/>
      <c r="K73" s="137"/>
      <c r="L73" s="137"/>
      <c r="M73" s="137"/>
    </row>
    <row r="74" spans="1:19" x14ac:dyDescent="0.25">
      <c r="A74" s="137"/>
      <c r="B74" s="137"/>
      <c r="C74" s="137"/>
      <c r="D74" s="137"/>
      <c r="E74" s="137"/>
      <c r="F74" s="137"/>
      <c r="G74" s="137"/>
      <c r="H74" s="137"/>
      <c r="I74" s="137"/>
      <c r="J74" s="137"/>
      <c r="K74" s="137"/>
      <c r="L74" s="137"/>
      <c r="M74" s="137"/>
    </row>
    <row r="75" spans="1:19" x14ac:dyDescent="0.25">
      <c r="A75" s="137"/>
      <c r="B75" s="137"/>
      <c r="C75" s="137"/>
      <c r="D75" s="137"/>
      <c r="E75" s="137"/>
      <c r="F75" s="137"/>
      <c r="G75" s="137"/>
      <c r="H75" s="137"/>
      <c r="I75" s="137"/>
      <c r="J75" s="137"/>
      <c r="K75" s="137"/>
      <c r="L75" s="137"/>
      <c r="M75" s="137"/>
    </row>
    <row r="76" spans="1:19" x14ac:dyDescent="0.25">
      <c r="A76" s="137"/>
      <c r="B76" s="137"/>
      <c r="C76" s="137"/>
      <c r="D76" s="137"/>
      <c r="E76" s="137"/>
      <c r="F76" s="137"/>
      <c r="G76" s="137"/>
      <c r="H76" s="137"/>
      <c r="I76" s="137"/>
      <c r="J76" s="137"/>
      <c r="K76" s="137"/>
      <c r="L76" s="137"/>
      <c r="M76" s="137"/>
    </row>
    <row r="77" spans="1:19" x14ac:dyDescent="0.25">
      <c r="A77" s="137"/>
      <c r="B77" s="137"/>
      <c r="C77" s="137"/>
      <c r="D77" s="137"/>
      <c r="E77" s="137"/>
      <c r="F77" s="137"/>
      <c r="G77" s="137"/>
      <c r="H77" s="137"/>
      <c r="I77" s="137"/>
      <c r="J77" s="137"/>
      <c r="K77" s="137"/>
      <c r="L77" s="137"/>
      <c r="M77" s="137"/>
    </row>
    <row r="78" spans="1:19" x14ac:dyDescent="0.25">
      <c r="A78" s="137"/>
      <c r="B78" s="137"/>
      <c r="C78" s="137"/>
      <c r="D78" s="137"/>
      <c r="E78" s="137"/>
      <c r="F78" s="137"/>
      <c r="G78" s="137"/>
      <c r="H78" s="137"/>
      <c r="I78" s="137"/>
      <c r="J78" s="137"/>
      <c r="K78" s="137"/>
      <c r="L78" s="137"/>
      <c r="M78" s="137"/>
    </row>
    <row r="79" spans="1:19" x14ac:dyDescent="0.25">
      <c r="A79" s="137"/>
      <c r="B79" s="137"/>
      <c r="C79" s="137"/>
      <c r="D79" s="137"/>
      <c r="E79" s="137"/>
      <c r="F79" s="137"/>
      <c r="G79" s="137"/>
      <c r="H79" s="137"/>
      <c r="I79" s="137"/>
      <c r="J79" s="137"/>
      <c r="K79" s="137"/>
      <c r="L79" s="137"/>
      <c r="M79" s="137"/>
    </row>
    <row r="80" spans="1:19" x14ac:dyDescent="0.25">
      <c r="A80" s="137"/>
      <c r="B80" s="137"/>
      <c r="C80" s="137"/>
      <c r="D80" s="137"/>
      <c r="E80" s="137"/>
      <c r="F80" s="137"/>
      <c r="G80" s="137"/>
      <c r="H80" s="137"/>
      <c r="I80" s="137"/>
      <c r="J80" s="137"/>
      <c r="K80" s="137"/>
      <c r="L80" s="137"/>
      <c r="M80" s="137"/>
    </row>
    <row r="81" spans="1:13" x14ac:dyDescent="0.25">
      <c r="A81" s="137"/>
      <c r="B81" s="137"/>
      <c r="C81" s="137"/>
      <c r="D81" s="137"/>
      <c r="E81" s="137"/>
      <c r="F81" s="137"/>
      <c r="G81" s="137"/>
      <c r="H81" s="137"/>
      <c r="I81" s="137"/>
      <c r="J81" s="137"/>
      <c r="K81" s="137"/>
      <c r="L81" s="137"/>
      <c r="M81" s="137"/>
    </row>
    <row r="82" spans="1:13" x14ac:dyDescent="0.25">
      <c r="A82" s="137"/>
      <c r="B82" s="137"/>
      <c r="C82" s="137"/>
      <c r="D82" s="137"/>
      <c r="E82" s="137"/>
      <c r="F82" s="137"/>
      <c r="G82" s="137"/>
      <c r="H82" s="137"/>
      <c r="I82" s="137"/>
      <c r="J82" s="137"/>
      <c r="K82" s="137"/>
      <c r="L82" s="137"/>
      <c r="M82" s="137"/>
    </row>
    <row r="83" spans="1:13" x14ac:dyDescent="0.25">
      <c r="A83" s="137"/>
      <c r="B83" s="137"/>
      <c r="C83" s="137"/>
      <c r="D83" s="137"/>
      <c r="E83" s="137"/>
      <c r="F83" s="137"/>
      <c r="G83" s="137"/>
      <c r="H83" s="137"/>
      <c r="I83" s="137"/>
      <c r="J83" s="137"/>
      <c r="K83" s="137"/>
      <c r="L83" s="137"/>
      <c r="M83" s="137"/>
    </row>
    <row r="84" spans="1:13" x14ac:dyDescent="0.25">
      <c r="A84" s="137"/>
      <c r="B84" s="137"/>
      <c r="C84" s="137"/>
      <c r="D84" s="137"/>
      <c r="E84" s="137"/>
      <c r="F84" s="137"/>
      <c r="G84" s="137"/>
      <c r="H84" s="137"/>
      <c r="I84" s="137"/>
      <c r="J84" s="137"/>
      <c r="K84" s="137"/>
      <c r="L84" s="137"/>
      <c r="M84" s="137"/>
    </row>
    <row r="85" spans="1:13" x14ac:dyDescent="0.25">
      <c r="A85" s="14" t="s">
        <v>475</v>
      </c>
    </row>
    <row r="86" spans="1:13" x14ac:dyDescent="0.25">
      <c r="A86" s="137"/>
      <c r="B86" s="137"/>
      <c r="C86" s="137"/>
      <c r="D86" s="137"/>
      <c r="E86" s="137"/>
      <c r="F86" s="137"/>
      <c r="G86" s="137"/>
      <c r="H86" s="137"/>
      <c r="I86" s="137"/>
      <c r="J86" s="137"/>
      <c r="K86" s="137"/>
      <c r="L86" s="137"/>
      <c r="M86" s="137"/>
    </row>
    <row r="87" spans="1:13" ht="45" x14ac:dyDescent="0.25">
      <c r="A87" s="82"/>
      <c r="B87" s="244" t="s">
        <v>351</v>
      </c>
      <c r="C87" s="244" t="s">
        <v>152</v>
      </c>
      <c r="D87" s="137"/>
      <c r="E87" s="137"/>
      <c r="F87" s="137"/>
      <c r="G87" s="137"/>
      <c r="H87" s="137"/>
      <c r="I87" s="137"/>
      <c r="J87" s="137"/>
      <c r="K87" s="137"/>
      <c r="L87" s="137"/>
      <c r="M87" s="137"/>
    </row>
    <row r="88" spans="1:13" x14ac:dyDescent="0.25">
      <c r="A88" s="60" t="s">
        <v>22</v>
      </c>
      <c r="B88" s="142">
        <v>12014192</v>
      </c>
      <c r="C88" s="142">
        <v>8376192</v>
      </c>
      <c r="D88" s="137"/>
      <c r="E88" s="137"/>
      <c r="F88" s="137"/>
      <c r="G88" s="137"/>
      <c r="H88" s="137"/>
      <c r="I88" s="137"/>
      <c r="J88" s="137"/>
      <c r="K88" s="137"/>
      <c r="L88" s="137"/>
      <c r="M88" s="137"/>
    </row>
    <row r="89" spans="1:13" x14ac:dyDescent="0.25">
      <c r="A89" s="60" t="s">
        <v>23</v>
      </c>
      <c r="B89" s="142">
        <v>4236994</v>
      </c>
      <c r="C89" s="142">
        <v>3003839</v>
      </c>
      <c r="D89" s="137"/>
      <c r="E89" s="137"/>
      <c r="F89" s="137"/>
      <c r="G89" s="137"/>
      <c r="H89" s="137"/>
      <c r="I89" s="137"/>
      <c r="J89" s="137"/>
      <c r="K89" s="137"/>
      <c r="L89" s="137"/>
      <c r="M89" s="137"/>
    </row>
    <row r="90" spans="1:13" x14ac:dyDescent="0.25">
      <c r="A90" s="60" t="s">
        <v>24</v>
      </c>
      <c r="B90" s="142">
        <v>9814321</v>
      </c>
      <c r="C90" s="142">
        <v>6697611</v>
      </c>
      <c r="D90" s="137"/>
      <c r="E90" s="137"/>
      <c r="F90" s="137"/>
      <c r="G90" s="137"/>
      <c r="H90" s="137"/>
      <c r="I90" s="137"/>
      <c r="J90" s="137"/>
      <c r="K90" s="137"/>
      <c r="L90" s="137"/>
      <c r="M90" s="137"/>
    </row>
    <row r="91" spans="1:13" x14ac:dyDescent="0.25">
      <c r="A91" s="60" t="s">
        <v>25</v>
      </c>
      <c r="B91" s="142">
        <v>6642750</v>
      </c>
      <c r="C91" s="142">
        <v>1940382</v>
      </c>
      <c r="D91" s="137"/>
      <c r="E91" s="137"/>
      <c r="F91" s="137"/>
      <c r="G91" s="137"/>
      <c r="H91" s="137"/>
      <c r="I91" s="137"/>
      <c r="J91" s="137"/>
      <c r="K91" s="137"/>
      <c r="L91" s="137"/>
      <c r="M91" s="137"/>
    </row>
    <row r="92" spans="1:13" x14ac:dyDescent="0.25">
      <c r="A92" s="60" t="s">
        <v>26</v>
      </c>
      <c r="B92" s="142">
        <v>5749010</v>
      </c>
      <c r="C92" s="142">
        <v>4500869</v>
      </c>
      <c r="D92" s="137"/>
      <c r="E92" s="137"/>
      <c r="F92" s="137"/>
      <c r="G92" s="137"/>
      <c r="H92" s="137"/>
      <c r="I92" s="137"/>
      <c r="J92" s="137"/>
      <c r="K92" s="137"/>
      <c r="L92" s="137"/>
      <c r="M92" s="137"/>
    </row>
    <row r="93" spans="1:13" x14ac:dyDescent="0.25">
      <c r="A93" s="60" t="s">
        <v>27</v>
      </c>
      <c r="B93" s="142">
        <v>3952429</v>
      </c>
      <c r="C93" s="142">
        <v>1346432</v>
      </c>
      <c r="D93" s="137"/>
      <c r="E93" s="137"/>
      <c r="F93" s="137"/>
      <c r="G93" s="137"/>
      <c r="H93" s="137"/>
      <c r="I93" s="137"/>
      <c r="J93" s="137"/>
      <c r="K93" s="137"/>
      <c r="L93" s="137"/>
      <c r="M93" s="137"/>
    </row>
    <row r="94" spans="1:13" x14ac:dyDescent="0.25">
      <c r="A94" s="60" t="s">
        <v>429</v>
      </c>
      <c r="B94" s="142">
        <v>6618635</v>
      </c>
      <c r="C94" s="142">
        <v>4442645</v>
      </c>
      <c r="D94" s="137"/>
      <c r="E94" s="137"/>
      <c r="F94" s="137"/>
      <c r="G94" s="137"/>
      <c r="H94" s="137"/>
      <c r="I94" s="137"/>
      <c r="J94" s="137"/>
      <c r="K94" s="137"/>
      <c r="L94" s="137"/>
      <c r="M94" s="137"/>
    </row>
    <row r="95" spans="1:13" x14ac:dyDescent="0.25">
      <c r="A95" s="60" t="s">
        <v>470</v>
      </c>
      <c r="B95" s="142">
        <v>3075860</v>
      </c>
      <c r="C95" s="142">
        <v>1025287</v>
      </c>
      <c r="D95" s="137"/>
      <c r="E95" s="137"/>
      <c r="F95" s="137"/>
      <c r="G95" s="137"/>
      <c r="H95" s="137"/>
      <c r="I95" s="137"/>
      <c r="J95" s="137"/>
      <c r="K95" s="137"/>
      <c r="L95" s="137"/>
      <c r="M95" s="137"/>
    </row>
    <row r="96" spans="1:13" x14ac:dyDescent="0.25">
      <c r="A96" s="137"/>
      <c r="B96" s="137"/>
      <c r="C96" s="137"/>
      <c r="D96" s="137"/>
      <c r="E96" s="137"/>
      <c r="F96" s="137"/>
      <c r="G96" s="137"/>
      <c r="H96" s="137"/>
      <c r="I96" s="137"/>
      <c r="J96" s="137"/>
      <c r="K96" s="137"/>
      <c r="L96" s="137"/>
      <c r="M96" s="137"/>
    </row>
    <row r="97" spans="1:13" x14ac:dyDescent="0.25">
      <c r="A97" s="137"/>
      <c r="B97" s="137"/>
      <c r="C97" s="137"/>
      <c r="D97" s="137"/>
      <c r="E97" s="137"/>
      <c r="F97" s="137"/>
      <c r="G97" s="137"/>
      <c r="H97" s="137"/>
      <c r="I97" s="137"/>
      <c r="J97" s="137"/>
      <c r="K97" s="137"/>
      <c r="L97" s="137"/>
      <c r="M97" s="137"/>
    </row>
    <row r="98" spans="1:13" x14ac:dyDescent="0.25">
      <c r="A98" s="137"/>
      <c r="B98" s="137"/>
      <c r="C98" s="137"/>
      <c r="D98" s="137"/>
      <c r="E98" s="137"/>
      <c r="F98" s="137"/>
      <c r="G98" s="137"/>
      <c r="H98" s="137"/>
      <c r="I98" s="137"/>
      <c r="J98" s="137"/>
      <c r="K98" s="137"/>
      <c r="L98" s="137"/>
      <c r="M98" s="137"/>
    </row>
    <row r="99" spans="1:13" x14ac:dyDescent="0.25">
      <c r="A99" s="137"/>
      <c r="B99" s="137"/>
      <c r="C99" s="137"/>
      <c r="D99" s="137"/>
      <c r="E99" s="137"/>
      <c r="F99" s="137"/>
      <c r="G99" s="137"/>
      <c r="H99" s="137"/>
      <c r="I99" s="137"/>
      <c r="J99" s="137"/>
      <c r="K99" s="137"/>
      <c r="L99" s="137"/>
      <c r="M99" s="137"/>
    </row>
    <row r="100" spans="1:13" x14ac:dyDescent="0.25">
      <c r="A100" s="137"/>
      <c r="B100" s="137"/>
      <c r="C100" s="137"/>
      <c r="D100" s="137"/>
      <c r="E100" s="137"/>
      <c r="F100" s="137"/>
      <c r="G100" s="137"/>
      <c r="H100" s="137"/>
      <c r="I100" s="137"/>
      <c r="J100" s="137"/>
      <c r="K100" s="137"/>
      <c r="L100" s="137"/>
      <c r="M100" s="137"/>
    </row>
    <row r="101" spans="1:13" x14ac:dyDescent="0.25">
      <c r="A101" s="137"/>
      <c r="B101" s="137"/>
      <c r="C101" s="137"/>
      <c r="D101" s="137"/>
      <c r="E101" s="137"/>
      <c r="F101" s="137"/>
      <c r="G101" s="137"/>
      <c r="H101" s="137"/>
      <c r="I101" s="137"/>
      <c r="J101" s="137"/>
      <c r="K101" s="137"/>
      <c r="L101" s="137"/>
      <c r="M101" s="137"/>
    </row>
    <row r="102" spans="1:13" x14ac:dyDescent="0.25">
      <c r="A102" s="137"/>
      <c r="B102" s="137"/>
      <c r="C102" s="137"/>
      <c r="D102" s="137"/>
      <c r="E102" s="137"/>
      <c r="F102" s="137"/>
      <c r="G102" s="137"/>
      <c r="H102" s="137"/>
      <c r="I102" s="137"/>
      <c r="J102" s="137"/>
      <c r="K102" s="137"/>
      <c r="L102" s="137"/>
      <c r="M102" s="137"/>
    </row>
    <row r="103" spans="1:13" x14ac:dyDescent="0.25">
      <c r="A103" s="137"/>
      <c r="B103" s="137"/>
      <c r="C103" s="137"/>
      <c r="D103" s="137"/>
      <c r="E103" s="137"/>
      <c r="F103" s="137"/>
      <c r="G103" s="137"/>
      <c r="H103" s="137"/>
      <c r="I103" s="137"/>
      <c r="J103" s="137"/>
      <c r="K103" s="137"/>
      <c r="L103" s="137"/>
      <c r="M103" s="137"/>
    </row>
    <row r="104" spans="1:13" x14ac:dyDescent="0.25">
      <c r="A104" s="137"/>
      <c r="B104" s="137"/>
      <c r="C104" s="137"/>
      <c r="D104" s="137"/>
      <c r="E104" s="137"/>
      <c r="F104" s="137"/>
      <c r="G104" s="137"/>
      <c r="H104" s="137"/>
      <c r="I104" s="137"/>
      <c r="J104" s="137"/>
      <c r="K104" s="137"/>
      <c r="L104" s="137"/>
      <c r="M104" s="137"/>
    </row>
    <row r="105" spans="1:13" x14ac:dyDescent="0.25">
      <c r="A105" s="137"/>
      <c r="B105" s="137"/>
      <c r="C105" s="137"/>
      <c r="D105" s="137"/>
      <c r="E105" s="137"/>
      <c r="F105" s="137"/>
      <c r="G105" s="137"/>
      <c r="H105" s="137"/>
      <c r="I105" s="137"/>
      <c r="J105" s="137"/>
      <c r="K105" s="137"/>
      <c r="L105" s="137"/>
      <c r="M105" s="137"/>
    </row>
    <row r="106" spans="1:13" x14ac:dyDescent="0.25">
      <c r="A106" s="137"/>
      <c r="B106" s="137"/>
      <c r="C106" s="137"/>
      <c r="D106" s="137"/>
      <c r="E106" s="137"/>
      <c r="F106" s="137"/>
      <c r="G106" s="137"/>
      <c r="H106" s="137"/>
      <c r="I106" s="137"/>
      <c r="J106" s="137"/>
      <c r="K106" s="137"/>
      <c r="L106" s="137"/>
      <c r="M106" s="137"/>
    </row>
    <row r="107" spans="1:13" x14ac:dyDescent="0.25">
      <c r="A107" s="137"/>
      <c r="B107" s="137"/>
      <c r="C107" s="137"/>
      <c r="D107" s="137"/>
      <c r="E107" s="137"/>
      <c r="F107" s="137"/>
      <c r="G107" s="137"/>
      <c r="H107" s="137"/>
      <c r="I107" s="137"/>
      <c r="J107" s="137"/>
      <c r="K107" s="137"/>
      <c r="L107" s="137"/>
      <c r="M107" s="137"/>
    </row>
    <row r="116" spans="1:3" x14ac:dyDescent="0.25">
      <c r="A116" s="14" t="s">
        <v>390</v>
      </c>
    </row>
    <row r="118" spans="1:3" ht="45" x14ac:dyDescent="0.25">
      <c r="A118" s="82"/>
      <c r="B118" s="244" t="s">
        <v>351</v>
      </c>
      <c r="C118" s="244" t="s">
        <v>152</v>
      </c>
    </row>
    <row r="119" spans="1:3" x14ac:dyDescent="0.25">
      <c r="A119" s="2" t="s">
        <v>23</v>
      </c>
      <c r="B119" s="8">
        <f t="shared" ref="B119:C124" si="1">(B89-B88)/B88</f>
        <v>-0.64733425269048472</v>
      </c>
      <c r="C119" s="8">
        <f t="shared" si="1"/>
        <v>-0.64138369798591055</v>
      </c>
    </row>
    <row r="120" spans="1:3" x14ac:dyDescent="0.25">
      <c r="A120" s="2" t="s">
        <v>24</v>
      </c>
      <c r="B120" s="8">
        <f t="shared" si="1"/>
        <v>1.3163405470954173</v>
      </c>
      <c r="C120" s="8">
        <f t="shared" si="1"/>
        <v>1.229683748030437</v>
      </c>
    </row>
    <row r="121" spans="1:3" x14ac:dyDescent="0.25">
      <c r="A121" s="2" t="s">
        <v>25</v>
      </c>
      <c r="B121" s="8">
        <f t="shared" si="1"/>
        <v>-0.32315745531453477</v>
      </c>
      <c r="C121" s="8">
        <f t="shared" si="1"/>
        <v>-0.71028744428423807</v>
      </c>
    </row>
    <row r="122" spans="1:3" x14ac:dyDescent="0.25">
      <c r="A122" s="2" t="s">
        <v>26</v>
      </c>
      <c r="B122" s="8">
        <f t="shared" si="1"/>
        <v>-0.13454367543562532</v>
      </c>
      <c r="C122" s="8">
        <f t="shared" si="1"/>
        <v>1.3195788252003986</v>
      </c>
    </row>
    <row r="123" spans="1:3" x14ac:dyDescent="0.25">
      <c r="A123" s="2" t="s">
        <v>27</v>
      </c>
      <c r="B123" s="8">
        <f t="shared" si="1"/>
        <v>-0.31250267437350082</v>
      </c>
      <c r="C123" s="8">
        <f t="shared" si="1"/>
        <v>-0.70085065795072021</v>
      </c>
    </row>
    <row r="124" spans="1:3" x14ac:dyDescent="0.25">
      <c r="A124" s="111" t="s">
        <v>429</v>
      </c>
      <c r="B124" s="8">
        <f t="shared" si="1"/>
        <v>0.67457404041919533</v>
      </c>
      <c r="C124" s="8">
        <f t="shared" si="1"/>
        <v>2.2995687862439396</v>
      </c>
    </row>
    <row r="125" spans="1:3" x14ac:dyDescent="0.25">
      <c r="A125" s="111" t="s">
        <v>470</v>
      </c>
      <c r="B125" s="8">
        <f>(B95-B94)/B94</f>
        <v>-0.53527275639161243</v>
      </c>
      <c r="C125" s="8">
        <f>(C95-C94)/C94</f>
        <v>-0.76921698672750127</v>
      </c>
    </row>
    <row r="147" spans="1:4" x14ac:dyDescent="0.25">
      <c r="A147" s="14" t="s">
        <v>476</v>
      </c>
    </row>
    <row r="149" spans="1:4" x14ac:dyDescent="0.25">
      <c r="A149" s="82"/>
      <c r="B149" s="82" t="s">
        <v>177</v>
      </c>
      <c r="C149" s="82" t="s">
        <v>178</v>
      </c>
      <c r="D149" s="82" t="s">
        <v>179</v>
      </c>
    </row>
    <row r="150" spans="1:4" ht="30" x14ac:dyDescent="0.25">
      <c r="A150" s="10" t="s">
        <v>391</v>
      </c>
      <c r="B150" s="8">
        <v>0.505</v>
      </c>
      <c r="C150" s="8">
        <v>0.19</v>
      </c>
      <c r="D150" s="8">
        <v>0.30499999999999999</v>
      </c>
    </row>
    <row r="151" spans="1:4" ht="45" x14ac:dyDescent="0.25">
      <c r="A151" s="10" t="s">
        <v>392</v>
      </c>
      <c r="B151" s="8">
        <v>0.34200000000000003</v>
      </c>
      <c r="C151" s="8">
        <v>0.43</v>
      </c>
      <c r="D151" s="8">
        <v>0.22800000000000001</v>
      </c>
    </row>
    <row r="152" spans="1:4" ht="45" x14ac:dyDescent="0.25">
      <c r="A152" s="10" t="s">
        <v>393</v>
      </c>
      <c r="B152" s="8">
        <v>0.36499999999999999</v>
      </c>
      <c r="C152" s="8">
        <v>0.51600000000000001</v>
      </c>
      <c r="D152" s="8">
        <v>0.11899999999999999</v>
      </c>
    </row>
    <row r="153" spans="1:4" ht="45" x14ac:dyDescent="0.25">
      <c r="A153" s="10" t="s">
        <v>394</v>
      </c>
      <c r="B153" s="8">
        <v>0.29699999999999999</v>
      </c>
      <c r="C153" s="8">
        <v>0.53500000000000003</v>
      </c>
      <c r="D153" s="8">
        <v>0.16800000000000001</v>
      </c>
    </row>
    <row r="154" spans="1:4" ht="45" x14ac:dyDescent="0.25">
      <c r="A154" s="10" t="s">
        <v>395</v>
      </c>
      <c r="B154" s="8">
        <v>0.32400000000000001</v>
      </c>
      <c r="C154" s="8">
        <v>0.36599999999999999</v>
      </c>
      <c r="D154" s="8">
        <v>0.31</v>
      </c>
    </row>
    <row r="155" spans="1:4" ht="45" x14ac:dyDescent="0.25">
      <c r="A155" s="10" t="s">
        <v>396</v>
      </c>
      <c r="B155" s="8">
        <v>0.22600000000000001</v>
      </c>
      <c r="C155" s="8">
        <v>0.39800000000000002</v>
      </c>
      <c r="D155" s="8">
        <v>0.376</v>
      </c>
    </row>
    <row r="156" spans="1:4" ht="45" x14ac:dyDescent="0.25">
      <c r="A156" s="213" t="s">
        <v>441</v>
      </c>
      <c r="B156" s="267">
        <v>0.2</v>
      </c>
      <c r="C156" s="267">
        <v>0.38</v>
      </c>
      <c r="D156" s="267">
        <v>0.42</v>
      </c>
    </row>
    <row r="157" spans="1:4" ht="45" x14ac:dyDescent="0.25">
      <c r="A157" s="355" t="s">
        <v>599</v>
      </c>
      <c r="B157" s="287">
        <v>0.28299999999999997</v>
      </c>
      <c r="C157" s="8">
        <v>0.35099999999999998</v>
      </c>
      <c r="D157" s="8">
        <v>0.36599999999999999</v>
      </c>
    </row>
    <row r="158" spans="1:4" x14ac:dyDescent="0.25">
      <c r="A158" s="171"/>
      <c r="B158" s="356"/>
    </row>
    <row r="159" spans="1:4" x14ac:dyDescent="0.25">
      <c r="B159" s="149"/>
    </row>
    <row r="169" spans="1:11" x14ac:dyDescent="0.25">
      <c r="A169" s="433" t="s">
        <v>477</v>
      </c>
      <c r="B169" s="433"/>
      <c r="C169" s="433"/>
      <c r="D169" s="433"/>
      <c r="E169" s="433"/>
      <c r="F169" s="433"/>
      <c r="G169" s="433"/>
      <c r="H169" s="433"/>
      <c r="I169" s="433"/>
      <c r="J169" s="433"/>
      <c r="K169" s="433"/>
    </row>
    <row r="171" spans="1:11" x14ac:dyDescent="0.25">
      <c r="A171" s="436"/>
      <c r="B171" s="437"/>
      <c r="C171" s="82" t="s">
        <v>22</v>
      </c>
      <c r="D171" s="82" t="s">
        <v>23</v>
      </c>
      <c r="E171" s="82" t="s">
        <v>24</v>
      </c>
      <c r="F171" s="82" t="s">
        <v>25</v>
      </c>
      <c r="G171" s="82" t="s">
        <v>26</v>
      </c>
      <c r="H171" s="82" t="s">
        <v>27</v>
      </c>
      <c r="I171" s="82" t="s">
        <v>429</v>
      </c>
      <c r="J171" s="82" t="s">
        <v>470</v>
      </c>
    </row>
    <row r="172" spans="1:11" x14ac:dyDescent="0.25">
      <c r="A172" s="434" t="s">
        <v>317</v>
      </c>
      <c r="B172" s="434"/>
      <c r="C172" s="2">
        <v>676.2</v>
      </c>
      <c r="D172" s="2">
        <v>296.8</v>
      </c>
      <c r="E172" s="2">
        <v>546.20000000000005</v>
      </c>
      <c r="F172" s="2">
        <v>372.6</v>
      </c>
      <c r="G172" s="2">
        <v>442.7</v>
      </c>
      <c r="H172" s="2">
        <v>264.8</v>
      </c>
      <c r="I172" s="283">
        <v>281</v>
      </c>
      <c r="J172" s="2">
        <v>261.60000000000002</v>
      </c>
    </row>
    <row r="173" spans="1:11" x14ac:dyDescent="0.25">
      <c r="A173" s="434" t="s">
        <v>318</v>
      </c>
      <c r="B173" s="434"/>
      <c r="C173" s="2">
        <v>253.2</v>
      </c>
      <c r="D173" s="2">
        <v>372.5</v>
      </c>
      <c r="E173" s="2">
        <v>772.1</v>
      </c>
      <c r="F173" s="2">
        <v>671.5</v>
      </c>
      <c r="G173" s="2">
        <v>499.6</v>
      </c>
      <c r="H173" s="2">
        <v>465.2</v>
      </c>
      <c r="I173" s="111">
        <v>534.79999999999995</v>
      </c>
      <c r="J173" s="2">
        <v>323.8</v>
      </c>
    </row>
    <row r="174" spans="1:11" ht="31.5" customHeight="1" x14ac:dyDescent="0.25">
      <c r="A174" s="435" t="s">
        <v>319</v>
      </c>
      <c r="B174" s="435"/>
      <c r="C174" s="2">
        <v>408</v>
      </c>
      <c r="D174" s="2">
        <v>197.7</v>
      </c>
      <c r="E174" s="2">
        <v>178.1</v>
      </c>
      <c r="F174" s="2">
        <v>210.7</v>
      </c>
      <c r="G174" s="2">
        <v>422.1</v>
      </c>
      <c r="H174" s="2">
        <v>440.2</v>
      </c>
      <c r="I174" s="111">
        <v>592.20000000000005</v>
      </c>
      <c r="J174" s="2">
        <v>337.9</v>
      </c>
    </row>
    <row r="201" spans="1:15" ht="27.75" customHeight="1" x14ac:dyDescent="0.25">
      <c r="A201" s="422" t="s">
        <v>478</v>
      </c>
      <c r="B201" s="422"/>
      <c r="C201" s="422"/>
      <c r="D201" s="422"/>
      <c r="E201" s="422"/>
      <c r="F201" s="422"/>
      <c r="G201" s="422"/>
      <c r="H201" s="422"/>
      <c r="I201" s="422"/>
      <c r="J201" s="422"/>
      <c r="K201" s="422"/>
    </row>
    <row r="203" spans="1:15" x14ac:dyDescent="0.25">
      <c r="A203" s="438" t="s">
        <v>28</v>
      </c>
      <c r="B203" s="432" t="s">
        <v>22</v>
      </c>
      <c r="C203" s="432" t="s">
        <v>23</v>
      </c>
      <c r="D203" s="432" t="s">
        <v>24</v>
      </c>
      <c r="E203" s="432" t="s">
        <v>25</v>
      </c>
      <c r="F203" s="432" t="s">
        <v>26</v>
      </c>
      <c r="G203" s="432" t="s">
        <v>27</v>
      </c>
      <c r="H203" s="432" t="s">
        <v>429</v>
      </c>
      <c r="I203" s="439" t="s">
        <v>470</v>
      </c>
    </row>
    <row r="204" spans="1:15" x14ac:dyDescent="0.25">
      <c r="A204" s="438"/>
      <c r="B204" s="432"/>
      <c r="C204" s="432"/>
      <c r="D204" s="432"/>
      <c r="E204" s="432"/>
      <c r="F204" s="432"/>
      <c r="G204" s="432"/>
      <c r="H204" s="432"/>
      <c r="I204" s="439"/>
    </row>
    <row r="205" spans="1:15" ht="30" x14ac:dyDescent="0.25">
      <c r="A205" s="10" t="s">
        <v>12</v>
      </c>
      <c r="B205" s="8">
        <v>0.14000000000000001</v>
      </c>
      <c r="C205" s="8">
        <v>0.317</v>
      </c>
      <c r="D205" s="8">
        <v>0.126</v>
      </c>
      <c r="E205" s="8">
        <v>0.113</v>
      </c>
      <c r="F205" s="8">
        <v>6.4000000000000001E-2</v>
      </c>
      <c r="G205" s="8">
        <v>9.8000000000000004E-2</v>
      </c>
      <c r="H205" s="8">
        <v>5.5E-2</v>
      </c>
      <c r="I205" s="8">
        <v>0.22700000000000001</v>
      </c>
      <c r="O205" s="149"/>
    </row>
    <row r="206" spans="1:15" x14ac:dyDescent="0.25">
      <c r="A206" s="10" t="s">
        <v>13</v>
      </c>
      <c r="B206" s="8">
        <v>0.56599999999999995</v>
      </c>
      <c r="C206" s="8">
        <v>0.217</v>
      </c>
      <c r="D206" s="8">
        <v>0.17</v>
      </c>
      <c r="E206" s="8">
        <v>0.193</v>
      </c>
      <c r="F206" s="8">
        <v>0.48799999999999999</v>
      </c>
      <c r="G206" s="8">
        <v>0.501</v>
      </c>
      <c r="H206" s="8">
        <v>0.52100000000000002</v>
      </c>
      <c r="I206" s="8">
        <v>0.29499999999999998</v>
      </c>
      <c r="O206" s="149"/>
    </row>
    <row r="207" spans="1:15" x14ac:dyDescent="0.25">
      <c r="A207" s="10" t="s">
        <v>14</v>
      </c>
      <c r="B207" s="8">
        <v>4.2000000000000003E-2</v>
      </c>
      <c r="C207" s="8">
        <v>7.0000000000000007E-2</v>
      </c>
      <c r="D207" s="8">
        <v>0.06</v>
      </c>
      <c r="E207" s="8">
        <v>9.0999999999999998E-2</v>
      </c>
      <c r="F207" s="8">
        <v>8.1000000000000003E-2</v>
      </c>
      <c r="G207" s="8">
        <v>8.5000000000000006E-2</v>
      </c>
      <c r="H207" s="8">
        <v>4.7E-2</v>
      </c>
      <c r="I207" s="8">
        <v>0.13700000000000001</v>
      </c>
      <c r="O207" s="149"/>
    </row>
    <row r="208" spans="1:15" ht="30" x14ac:dyDescent="0.25">
      <c r="A208" s="10" t="s">
        <v>677</v>
      </c>
      <c r="B208" s="8">
        <v>0.14499999999999999</v>
      </c>
      <c r="C208" s="8">
        <v>0.189</v>
      </c>
      <c r="D208" s="8">
        <v>0.36899999999999999</v>
      </c>
      <c r="E208" s="8">
        <v>0.16800000000000001</v>
      </c>
      <c r="F208" s="8">
        <v>0.19500000000000001</v>
      </c>
      <c r="G208" s="8">
        <v>9.0999999999999998E-2</v>
      </c>
      <c r="H208" s="8">
        <v>8.3000000000000004E-2</v>
      </c>
      <c r="I208" s="8">
        <v>0.11600000000000001</v>
      </c>
      <c r="O208" s="149"/>
    </row>
    <row r="209" spans="1:15" ht="30" x14ac:dyDescent="0.25">
      <c r="A209" s="10" t="s">
        <v>15</v>
      </c>
      <c r="B209" s="8">
        <v>5.2999999999999999E-2</v>
      </c>
      <c r="C209" s="8">
        <v>0.109</v>
      </c>
      <c r="D209" s="8">
        <v>6.9000000000000006E-2</v>
      </c>
      <c r="E209" s="8">
        <v>0.312</v>
      </c>
      <c r="F209" s="8">
        <v>7.3999999999999996E-2</v>
      </c>
      <c r="G209" s="8">
        <v>0.13600000000000001</v>
      </c>
      <c r="H209" s="8">
        <v>0.246</v>
      </c>
      <c r="I209" s="8">
        <v>0.14199999999999999</v>
      </c>
      <c r="O209" s="149"/>
    </row>
    <row r="210" spans="1:15" ht="30" x14ac:dyDescent="0.25">
      <c r="A210" s="10" t="s">
        <v>16</v>
      </c>
      <c r="B210" s="8">
        <v>0.01</v>
      </c>
      <c r="C210" s="8">
        <v>1.9E-2</v>
      </c>
      <c r="D210" s="8">
        <v>8.0000000000000002E-3</v>
      </c>
      <c r="E210" s="8">
        <v>1.4999999999999999E-2</v>
      </c>
      <c r="F210" s="8">
        <v>8.0000000000000002E-3</v>
      </c>
      <c r="G210" s="8">
        <v>6.0000000000000001E-3</v>
      </c>
      <c r="H210" s="8">
        <v>0.01</v>
      </c>
      <c r="I210" s="8">
        <v>1.4999999999999999E-2</v>
      </c>
      <c r="O210" s="149"/>
    </row>
    <row r="211" spans="1:15" x14ac:dyDescent="0.25">
      <c r="A211" s="10" t="s">
        <v>17</v>
      </c>
      <c r="B211" s="8">
        <v>3.7999999999999999E-2</v>
      </c>
      <c r="C211" s="8">
        <v>6.9000000000000006E-2</v>
      </c>
      <c r="D211" s="8">
        <v>0.13100000000000001</v>
      </c>
      <c r="E211" s="8">
        <v>0.09</v>
      </c>
      <c r="F211" s="8">
        <v>5.6000000000000001E-2</v>
      </c>
      <c r="G211" s="8">
        <v>4.9000000000000002E-2</v>
      </c>
      <c r="H211" s="8">
        <v>2.5999999999999999E-2</v>
      </c>
      <c r="I211" s="8">
        <v>5.6000000000000001E-2</v>
      </c>
      <c r="O211" s="149"/>
    </row>
    <row r="212" spans="1:15" x14ac:dyDescent="0.25">
      <c r="A212" s="10" t="s">
        <v>18</v>
      </c>
      <c r="B212" s="8">
        <v>6.0000000000000001E-3</v>
      </c>
      <c r="C212" s="8">
        <v>0.01</v>
      </c>
      <c r="D212" s="8">
        <v>6.7000000000000004E-2</v>
      </c>
      <c r="E212" s="8">
        <v>1.7999999999999999E-2</v>
      </c>
      <c r="F212" s="8">
        <v>3.4000000000000002E-2</v>
      </c>
      <c r="G212" s="8">
        <v>3.4000000000000002E-2</v>
      </c>
      <c r="H212" s="8">
        <v>1.2E-2</v>
      </c>
      <c r="I212" s="8">
        <v>1.2E-2</v>
      </c>
      <c r="O212" s="149"/>
    </row>
    <row r="213" spans="1:15" x14ac:dyDescent="0.25">
      <c r="A213" s="246" t="s">
        <v>19</v>
      </c>
      <c r="B213" s="247">
        <f t="shared" ref="B213:G213" si="2">SUM(B205:B212)</f>
        <v>1</v>
      </c>
      <c r="C213" s="247">
        <f t="shared" si="2"/>
        <v>1.0000000000000002</v>
      </c>
      <c r="D213" s="247">
        <f t="shared" si="2"/>
        <v>1</v>
      </c>
      <c r="E213" s="247">
        <f t="shared" si="2"/>
        <v>1</v>
      </c>
      <c r="F213" s="247">
        <f t="shared" si="2"/>
        <v>1</v>
      </c>
      <c r="G213" s="247">
        <f t="shared" si="2"/>
        <v>1</v>
      </c>
      <c r="H213" s="247">
        <f>SUM(H205:H212)</f>
        <v>1</v>
      </c>
      <c r="I213" s="386">
        <f>SUM(I205:I212)</f>
        <v>1</v>
      </c>
      <c r="O213" s="149"/>
    </row>
    <row r="214" spans="1:15" ht="45" x14ac:dyDescent="0.25">
      <c r="A214" s="244" t="s">
        <v>397</v>
      </c>
      <c r="B214" s="248">
        <v>1337.7</v>
      </c>
      <c r="C214" s="248">
        <v>867.2</v>
      </c>
      <c r="D214" s="248">
        <v>1496.7</v>
      </c>
      <c r="E214" s="248">
        <v>1254.9000000000001</v>
      </c>
      <c r="F214" s="248">
        <v>1364.4</v>
      </c>
      <c r="G214" s="248">
        <v>1170.2</v>
      </c>
      <c r="H214" s="82">
        <v>1408.2</v>
      </c>
      <c r="I214" s="59">
        <v>923.3</v>
      </c>
    </row>
  </sheetData>
  <mergeCells count="15">
    <mergeCell ref="F203:F204"/>
    <mergeCell ref="G203:G204"/>
    <mergeCell ref="A201:K201"/>
    <mergeCell ref="A169:K169"/>
    <mergeCell ref="A172:B172"/>
    <mergeCell ref="A173:B173"/>
    <mergeCell ref="A174:B174"/>
    <mergeCell ref="A171:B171"/>
    <mergeCell ref="A203:A204"/>
    <mergeCell ref="B203:B204"/>
    <mergeCell ref="C203:C204"/>
    <mergeCell ref="D203:D204"/>
    <mergeCell ref="E203:E204"/>
    <mergeCell ref="H203:H204"/>
    <mergeCell ref="I203:I204"/>
  </mergeCells>
  <conditionalFormatting sqref="B88:B95">
    <cfRule type="top10" dxfId="33" priority="3" percent="1" rank="10"/>
    <cfRule type="iconSet" priority="4">
      <iconSet iconSet="3Arrows">
        <cfvo type="percent" val="0"/>
        <cfvo type="percent" val="33"/>
        <cfvo type="percent" val="67"/>
      </iconSet>
    </cfRule>
  </conditionalFormatting>
  <conditionalFormatting sqref="C88:C95">
    <cfRule type="top10" dxfId="32" priority="1" percent="1" rank="10"/>
    <cfRule type="iconSet" priority="2">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3"/>
  <sheetViews>
    <sheetView topLeftCell="A4" zoomScale="90" zoomScaleNormal="90" workbookViewId="0">
      <selection activeCell="Y32" sqref="Y32"/>
    </sheetView>
  </sheetViews>
  <sheetFormatPr defaultRowHeight="15" x14ac:dyDescent="0.25"/>
  <cols>
    <col min="1" max="1" width="12.42578125" customWidth="1"/>
    <col min="2" max="2" width="5.5703125" customWidth="1"/>
    <col min="3" max="3" width="5.42578125" customWidth="1"/>
    <col min="4" max="4" width="6.140625" customWidth="1"/>
    <col min="5" max="5" width="11" bestFit="1" customWidth="1"/>
    <col min="6" max="7" width="5.7109375" customWidth="1"/>
    <col min="8" max="8" width="7.140625" customWidth="1"/>
    <col min="9" max="9" width="12" bestFit="1" customWidth="1"/>
    <col min="10" max="12" width="6.28515625" customWidth="1"/>
    <col min="13" max="13" width="11" bestFit="1" customWidth="1"/>
    <col min="14" max="16" width="6" customWidth="1"/>
    <col min="17" max="17" width="12" bestFit="1" customWidth="1"/>
    <col min="18" max="19" width="6.42578125" customWidth="1"/>
    <col min="20" max="20" width="6.140625" customWidth="1"/>
    <col min="21" max="21" width="12" bestFit="1" customWidth="1"/>
    <col min="22" max="23" width="6.140625" customWidth="1"/>
    <col min="24" max="24" width="5.7109375" customWidth="1"/>
    <col min="25" max="25" width="11" bestFit="1" customWidth="1"/>
    <col min="26" max="27" width="5.85546875" customWidth="1"/>
    <col min="28" max="28" width="6" customWidth="1"/>
    <col min="29" max="29" width="12" bestFit="1" customWidth="1"/>
    <col min="30" max="31" width="5.5703125" customWidth="1"/>
    <col min="32" max="32" width="5.85546875" customWidth="1"/>
    <col min="33" max="33" width="11" bestFit="1" customWidth="1"/>
    <col min="34" max="34" width="7.85546875" bestFit="1" customWidth="1"/>
    <col min="35" max="35" width="6.140625" customWidth="1"/>
    <col min="36" max="36" width="8.85546875" bestFit="1" customWidth="1"/>
    <col min="37" max="37" width="12.5703125" bestFit="1" customWidth="1"/>
    <col min="38" max="38" width="11.5703125" bestFit="1" customWidth="1"/>
    <col min="39" max="39" width="10.5703125" bestFit="1" customWidth="1"/>
  </cols>
  <sheetData>
    <row r="1" spans="1:39" x14ac:dyDescent="0.25">
      <c r="A1" s="307" t="s">
        <v>479</v>
      </c>
    </row>
    <row r="2" spans="1:39" ht="15" customHeight="1" x14ac:dyDescent="0.25"/>
    <row r="3" spans="1:39" ht="52.5" customHeight="1" x14ac:dyDescent="0.25">
      <c r="A3" s="443" t="s">
        <v>37</v>
      </c>
      <c r="B3" s="444" t="s">
        <v>44</v>
      </c>
      <c r="C3" s="444"/>
      <c r="D3" s="444"/>
      <c r="E3" s="445"/>
      <c r="F3" s="446" t="s">
        <v>45</v>
      </c>
      <c r="G3" s="447"/>
      <c r="H3" s="444"/>
      <c r="I3" s="448"/>
      <c r="J3" s="447" t="s">
        <v>47</v>
      </c>
      <c r="K3" s="447"/>
      <c r="L3" s="444"/>
      <c r="M3" s="445"/>
      <c r="N3" s="446" t="s">
        <v>678</v>
      </c>
      <c r="O3" s="447"/>
      <c r="P3" s="444"/>
      <c r="Q3" s="448"/>
      <c r="R3" s="447" t="s">
        <v>162</v>
      </c>
      <c r="S3" s="447"/>
      <c r="T3" s="444"/>
      <c r="U3" s="445"/>
      <c r="V3" s="449" t="s">
        <v>163</v>
      </c>
      <c r="W3" s="450"/>
      <c r="X3" s="443"/>
      <c r="Y3" s="451"/>
      <c r="Z3" s="447" t="s">
        <v>164</v>
      </c>
      <c r="AA3" s="447"/>
      <c r="AB3" s="444"/>
      <c r="AC3" s="445"/>
      <c r="AD3" s="449" t="s">
        <v>165</v>
      </c>
      <c r="AE3" s="450"/>
      <c r="AF3" s="443"/>
      <c r="AG3" s="454"/>
      <c r="AH3" s="452" t="s">
        <v>11</v>
      </c>
      <c r="AI3" s="453"/>
      <c r="AJ3" s="453"/>
      <c r="AK3" s="450"/>
      <c r="AL3" s="441" t="s">
        <v>152</v>
      </c>
    </row>
    <row r="4" spans="1:39" ht="195" x14ac:dyDescent="0.25">
      <c r="A4" s="443"/>
      <c r="B4" s="57" t="s">
        <v>46</v>
      </c>
      <c r="C4" s="57" t="s">
        <v>5</v>
      </c>
      <c r="D4" s="57" t="s">
        <v>175</v>
      </c>
      <c r="E4" s="58" t="s">
        <v>43</v>
      </c>
      <c r="F4" s="56" t="s">
        <v>46</v>
      </c>
      <c r="G4" s="57" t="s">
        <v>5</v>
      </c>
      <c r="H4" s="57" t="s">
        <v>207</v>
      </c>
      <c r="I4" s="66" t="s">
        <v>43</v>
      </c>
      <c r="J4" s="55" t="s">
        <v>46</v>
      </c>
      <c r="K4" s="57" t="s">
        <v>5</v>
      </c>
      <c r="L4" s="57" t="s">
        <v>175</v>
      </c>
      <c r="M4" s="58" t="s">
        <v>43</v>
      </c>
      <c r="N4" s="56" t="s">
        <v>46</v>
      </c>
      <c r="O4" s="57" t="s">
        <v>5</v>
      </c>
      <c r="P4" s="57" t="s">
        <v>175</v>
      </c>
      <c r="Q4" s="66" t="s">
        <v>43</v>
      </c>
      <c r="R4" s="55" t="s">
        <v>46</v>
      </c>
      <c r="S4" s="57" t="s">
        <v>5</v>
      </c>
      <c r="T4" s="57" t="s">
        <v>175</v>
      </c>
      <c r="U4" s="58" t="s">
        <v>43</v>
      </c>
      <c r="V4" s="56" t="s">
        <v>46</v>
      </c>
      <c r="W4" s="57" t="s">
        <v>5</v>
      </c>
      <c r="X4" s="57" t="s">
        <v>175</v>
      </c>
      <c r="Y4" s="66" t="s">
        <v>43</v>
      </c>
      <c r="Z4" s="55" t="s">
        <v>46</v>
      </c>
      <c r="AA4" s="57" t="s">
        <v>5</v>
      </c>
      <c r="AB4" s="57" t="s">
        <v>175</v>
      </c>
      <c r="AC4" s="58" t="s">
        <v>43</v>
      </c>
      <c r="AD4" s="56" t="s">
        <v>46</v>
      </c>
      <c r="AE4" s="57" t="s">
        <v>5</v>
      </c>
      <c r="AF4" s="57" t="s">
        <v>175</v>
      </c>
      <c r="AG4" s="58" t="s">
        <v>43</v>
      </c>
      <c r="AH4" s="69" t="s">
        <v>46</v>
      </c>
      <c r="AI4" s="57" t="s">
        <v>5</v>
      </c>
      <c r="AJ4" s="57" t="s">
        <v>176</v>
      </c>
      <c r="AK4" s="57" t="s">
        <v>43</v>
      </c>
      <c r="AL4" s="442"/>
    </row>
    <row r="5" spans="1:39" x14ac:dyDescent="0.25">
      <c r="A5" s="99">
        <v>2012</v>
      </c>
      <c r="B5" s="4"/>
      <c r="C5" s="4">
        <f>C7+C8+C9</f>
        <v>16</v>
      </c>
      <c r="D5" s="4">
        <v>18</v>
      </c>
      <c r="E5" s="71">
        <f>E7+E8+E9</f>
        <v>54934634</v>
      </c>
      <c r="F5" s="72"/>
      <c r="G5" s="73">
        <f>G7+G8+G9</f>
        <v>33</v>
      </c>
      <c r="H5" s="4">
        <v>50</v>
      </c>
      <c r="I5" s="74">
        <f>I7+I8+I9</f>
        <v>152951301</v>
      </c>
      <c r="J5" s="73"/>
      <c r="K5" s="73">
        <f>K7+K8+K9</f>
        <v>4</v>
      </c>
      <c r="L5" s="4">
        <v>4</v>
      </c>
      <c r="M5" s="71">
        <f>M7+M8+M9</f>
        <v>4694432</v>
      </c>
      <c r="N5" s="72"/>
      <c r="O5" s="73">
        <f>O7+O8+O9</f>
        <v>21</v>
      </c>
      <c r="P5" s="4">
        <v>35</v>
      </c>
      <c r="Q5" s="74">
        <f>Q7+Q8+Q9</f>
        <v>507330606</v>
      </c>
      <c r="R5" s="73"/>
      <c r="S5" s="73">
        <f>S7+S8+S9</f>
        <v>13</v>
      </c>
      <c r="T5" s="4">
        <v>26</v>
      </c>
      <c r="U5" s="71">
        <f>U7+U8+U9</f>
        <v>38396754</v>
      </c>
      <c r="V5" s="72"/>
      <c r="W5" s="73">
        <f>W7+W8+W9</f>
        <v>1</v>
      </c>
      <c r="X5" s="4">
        <v>1</v>
      </c>
      <c r="Y5" s="74">
        <f>Y7+Y8+Y9</f>
        <v>706150</v>
      </c>
      <c r="Z5" s="73"/>
      <c r="AA5" s="73">
        <f>AA7+AA8+AA9</f>
        <v>8</v>
      </c>
      <c r="AB5" s="4">
        <v>8</v>
      </c>
      <c r="AC5" s="71">
        <f>AC7+AC8+AC9</f>
        <v>147091111</v>
      </c>
      <c r="AD5" s="72"/>
      <c r="AE5" s="73">
        <f>AE7+AE8+AE9</f>
        <v>5</v>
      </c>
      <c r="AF5" s="4">
        <v>6</v>
      </c>
      <c r="AG5" s="71">
        <f>AG7+AG8+AG9</f>
        <v>85141479</v>
      </c>
      <c r="AH5" s="91" t="s">
        <v>409</v>
      </c>
      <c r="AI5" s="73">
        <f>AI7+AI8+AI9</f>
        <v>101</v>
      </c>
      <c r="AJ5" s="4" t="s">
        <v>408</v>
      </c>
      <c r="AK5" s="92">
        <f>AK7+AK8+AK9</f>
        <v>991246467</v>
      </c>
      <c r="AL5" s="92">
        <f>AK5/148</f>
        <v>6697611.2635135138</v>
      </c>
    </row>
    <row r="6" spans="1:39" x14ac:dyDescent="0.25">
      <c r="A6" s="106" t="s">
        <v>158</v>
      </c>
      <c r="B6" s="59"/>
      <c r="C6" s="59"/>
      <c r="D6" s="59"/>
      <c r="E6" s="100"/>
      <c r="F6" s="101"/>
      <c r="G6" s="102"/>
      <c r="H6" s="59"/>
      <c r="I6" s="103"/>
      <c r="J6" s="102"/>
      <c r="K6" s="102"/>
      <c r="L6" s="59"/>
      <c r="M6" s="100"/>
      <c r="N6" s="101"/>
      <c r="O6" s="102"/>
      <c r="P6" s="59"/>
      <c r="Q6" s="103"/>
      <c r="R6" s="102"/>
      <c r="S6" s="102"/>
      <c r="T6" s="59"/>
      <c r="U6" s="100"/>
      <c r="V6" s="101"/>
      <c r="W6" s="102"/>
      <c r="X6" s="59"/>
      <c r="Y6" s="103"/>
      <c r="Z6" s="102"/>
      <c r="AA6" s="102"/>
      <c r="AB6" s="59"/>
      <c r="AC6" s="100"/>
      <c r="AD6" s="101"/>
      <c r="AE6" s="102"/>
      <c r="AF6" s="59"/>
      <c r="AG6" s="100"/>
      <c r="AH6" s="104"/>
      <c r="AI6" s="102"/>
      <c r="AJ6" s="59"/>
      <c r="AK6" s="105"/>
      <c r="AL6" s="105"/>
    </row>
    <row r="7" spans="1:39" x14ac:dyDescent="0.25">
      <c r="A7" s="80" t="s">
        <v>177</v>
      </c>
      <c r="B7" s="59"/>
      <c r="C7" s="60">
        <v>1</v>
      </c>
      <c r="D7" s="2"/>
      <c r="E7" s="23">
        <v>9537725</v>
      </c>
      <c r="F7" s="101"/>
      <c r="G7" s="65">
        <v>4</v>
      </c>
      <c r="H7" s="2"/>
      <c r="I7" s="67">
        <v>70800518</v>
      </c>
      <c r="J7" s="102"/>
      <c r="K7" s="65">
        <v>0</v>
      </c>
      <c r="L7" s="2"/>
      <c r="M7" s="23">
        <v>0</v>
      </c>
      <c r="N7" s="101"/>
      <c r="O7" s="65">
        <v>0</v>
      </c>
      <c r="P7" s="2"/>
      <c r="Q7" s="67">
        <v>0</v>
      </c>
      <c r="R7" s="102"/>
      <c r="S7" s="27">
        <v>2</v>
      </c>
      <c r="T7" s="2"/>
      <c r="U7" s="23">
        <v>17038496</v>
      </c>
      <c r="V7" s="101"/>
      <c r="W7" s="27">
        <v>0</v>
      </c>
      <c r="X7" s="2"/>
      <c r="Y7" s="67">
        <v>0</v>
      </c>
      <c r="Z7" s="102"/>
      <c r="AA7" s="27">
        <v>2</v>
      </c>
      <c r="AB7" s="2"/>
      <c r="AC7" s="23">
        <v>139741830</v>
      </c>
      <c r="AD7" s="101"/>
      <c r="AE7" s="27">
        <v>1</v>
      </c>
      <c r="AF7" s="2"/>
      <c r="AG7" s="23">
        <v>79487895</v>
      </c>
      <c r="AH7" s="104"/>
      <c r="AI7" s="27">
        <v>10</v>
      </c>
      <c r="AJ7" s="2">
        <v>12</v>
      </c>
      <c r="AK7" s="6">
        <v>316606464</v>
      </c>
      <c r="AL7" s="6"/>
    </row>
    <row r="8" spans="1:39" x14ac:dyDescent="0.25">
      <c r="A8" s="80" t="s">
        <v>178</v>
      </c>
      <c r="B8" s="59"/>
      <c r="C8" s="60">
        <v>11</v>
      </c>
      <c r="D8" s="2"/>
      <c r="E8" s="23">
        <v>28459551</v>
      </c>
      <c r="F8" s="101"/>
      <c r="G8" s="65">
        <v>21</v>
      </c>
      <c r="H8" s="2"/>
      <c r="I8" s="67">
        <v>68460279</v>
      </c>
      <c r="J8" s="102"/>
      <c r="K8" s="65">
        <v>3</v>
      </c>
      <c r="L8" s="2"/>
      <c r="M8" s="23">
        <v>2935441</v>
      </c>
      <c r="N8" s="101"/>
      <c r="O8" s="65">
        <v>18</v>
      </c>
      <c r="P8" s="2"/>
      <c r="Q8" s="67">
        <v>503853073</v>
      </c>
      <c r="R8" s="102"/>
      <c r="S8" s="27">
        <v>10</v>
      </c>
      <c r="T8" s="2"/>
      <c r="U8" s="23">
        <v>20924999</v>
      </c>
      <c r="V8" s="101"/>
      <c r="W8" s="27">
        <v>1</v>
      </c>
      <c r="X8" s="2"/>
      <c r="Y8" s="67">
        <v>706150</v>
      </c>
      <c r="Z8" s="102"/>
      <c r="AA8" s="27">
        <v>3</v>
      </c>
      <c r="AB8" s="2"/>
      <c r="AC8" s="23">
        <v>5129611</v>
      </c>
      <c r="AD8" s="101"/>
      <c r="AE8" s="27">
        <v>3</v>
      </c>
      <c r="AF8" s="2"/>
      <c r="AG8" s="23">
        <v>4335844</v>
      </c>
      <c r="AH8" s="104"/>
      <c r="AI8" s="27">
        <v>70</v>
      </c>
      <c r="AJ8" s="2">
        <v>111</v>
      </c>
      <c r="AK8" s="6">
        <v>634804948</v>
      </c>
      <c r="AL8" s="6"/>
    </row>
    <row r="9" spans="1:39" x14ac:dyDescent="0.25">
      <c r="A9" s="80" t="s">
        <v>179</v>
      </c>
      <c r="B9" s="59"/>
      <c r="C9" s="60">
        <v>4</v>
      </c>
      <c r="D9" s="2"/>
      <c r="E9" s="23">
        <v>16937358</v>
      </c>
      <c r="F9" s="101"/>
      <c r="G9" s="65">
        <v>8</v>
      </c>
      <c r="H9" s="2"/>
      <c r="I9" s="67">
        <v>13690504</v>
      </c>
      <c r="J9" s="102"/>
      <c r="K9" s="65">
        <v>1</v>
      </c>
      <c r="L9" s="2"/>
      <c r="M9" s="23">
        <v>1758991</v>
      </c>
      <c r="N9" s="101"/>
      <c r="O9" s="65">
        <v>3</v>
      </c>
      <c r="P9" s="2"/>
      <c r="Q9" s="67">
        <v>3477533</v>
      </c>
      <c r="R9" s="102"/>
      <c r="S9" s="27">
        <v>1</v>
      </c>
      <c r="T9" s="2"/>
      <c r="U9" s="23">
        <v>433259</v>
      </c>
      <c r="V9" s="101"/>
      <c r="W9" s="27">
        <v>0</v>
      </c>
      <c r="X9" s="2"/>
      <c r="Y9" s="67">
        <v>0</v>
      </c>
      <c r="Z9" s="102"/>
      <c r="AA9" s="27">
        <v>3</v>
      </c>
      <c r="AB9" s="2"/>
      <c r="AC9" s="23">
        <v>2219670</v>
      </c>
      <c r="AD9" s="101"/>
      <c r="AE9" s="27">
        <v>1</v>
      </c>
      <c r="AF9" s="2"/>
      <c r="AG9" s="23">
        <v>1317740</v>
      </c>
      <c r="AH9" s="104"/>
      <c r="AI9" s="27">
        <v>21</v>
      </c>
      <c r="AJ9" s="2">
        <v>25</v>
      </c>
      <c r="AK9" s="6">
        <v>39835055</v>
      </c>
      <c r="AL9" s="6"/>
    </row>
    <row r="10" spans="1:39" x14ac:dyDescent="0.25">
      <c r="A10" s="99">
        <v>2013</v>
      </c>
      <c r="B10" s="4"/>
      <c r="C10" s="4">
        <f>C12+C13+C14</f>
        <v>9</v>
      </c>
      <c r="D10" s="4">
        <v>32</v>
      </c>
      <c r="E10" s="71">
        <f>E12+E13+E14</f>
        <v>31960730</v>
      </c>
      <c r="F10" s="72"/>
      <c r="G10" s="73">
        <f>G12+G13+G14</f>
        <v>38</v>
      </c>
      <c r="H10" s="4">
        <v>225</v>
      </c>
      <c r="I10" s="74">
        <f>I12+I13+I14</f>
        <v>140674296</v>
      </c>
      <c r="J10" s="73"/>
      <c r="K10" s="73">
        <f>K12+K13+K14</f>
        <v>6</v>
      </c>
      <c r="L10" s="4">
        <v>7</v>
      </c>
      <c r="M10" s="71">
        <f>M12+M13+M14</f>
        <v>17730460</v>
      </c>
      <c r="N10" s="72"/>
      <c r="O10" s="73">
        <f>O12+O13+O14</f>
        <v>28</v>
      </c>
      <c r="P10" s="4">
        <v>52</v>
      </c>
      <c r="Q10" s="74">
        <f>Q12+Q13+Q14</f>
        <v>148215536</v>
      </c>
      <c r="R10" s="73"/>
      <c r="S10" s="73">
        <f>S12+S13+S14</f>
        <v>17</v>
      </c>
      <c r="T10" s="4">
        <v>49</v>
      </c>
      <c r="U10" s="71">
        <f>U12+U13+U14</f>
        <v>325883095</v>
      </c>
      <c r="V10" s="72"/>
      <c r="W10" s="73">
        <f>W12+W13+W14</f>
        <v>2</v>
      </c>
      <c r="X10" s="4">
        <v>2</v>
      </c>
      <c r="Y10" s="74">
        <f>Y12+Y13+Y14</f>
        <v>8821805</v>
      </c>
      <c r="Z10" s="73"/>
      <c r="AA10" s="73">
        <f>AA12+AA13+AA14</f>
        <v>9</v>
      </c>
      <c r="AB10" s="4">
        <v>9</v>
      </c>
      <c r="AC10" s="71">
        <f>AC12+AC13+AC14</f>
        <v>55567252</v>
      </c>
      <c r="AD10" s="72"/>
      <c r="AE10" s="73">
        <f>AE12+AE13+AE14</f>
        <v>2</v>
      </c>
      <c r="AF10" s="4">
        <v>4</v>
      </c>
      <c r="AG10" s="71">
        <f>AG12+AG13+AG14</f>
        <v>8492021</v>
      </c>
      <c r="AH10" s="91" t="s">
        <v>405</v>
      </c>
      <c r="AI10" s="73">
        <v>111</v>
      </c>
      <c r="AJ10" s="4" t="s">
        <v>404</v>
      </c>
      <c r="AK10" s="92">
        <f>AK12+AK13+AK14</f>
        <v>737345195</v>
      </c>
      <c r="AL10" s="92">
        <f>AK10/380</f>
        <v>1940382.0921052631</v>
      </c>
    </row>
    <row r="11" spans="1:39" x14ac:dyDescent="0.25">
      <c r="A11" s="85" t="s">
        <v>158</v>
      </c>
      <c r="B11" s="82"/>
      <c r="C11" s="82"/>
      <c r="D11" s="82"/>
      <c r="E11" s="86"/>
      <c r="F11" s="83"/>
      <c r="G11" s="84"/>
      <c r="H11" s="82"/>
      <c r="I11" s="87"/>
      <c r="J11" s="84"/>
      <c r="K11" s="84"/>
      <c r="L11" s="82"/>
      <c r="M11" s="86"/>
      <c r="N11" s="83"/>
      <c r="O11" s="84"/>
      <c r="P11" s="82"/>
      <c r="Q11" s="87"/>
      <c r="R11" s="84"/>
      <c r="S11" s="84"/>
      <c r="T11" s="82"/>
      <c r="U11" s="86"/>
      <c r="V11" s="83"/>
      <c r="W11" s="84"/>
      <c r="X11" s="82"/>
      <c r="Y11" s="87"/>
      <c r="Z11" s="84"/>
      <c r="AA11" s="84"/>
      <c r="AB11" s="82"/>
      <c r="AC11" s="86"/>
      <c r="AD11" s="83"/>
      <c r="AE11" s="84"/>
      <c r="AF11" s="82"/>
      <c r="AG11" s="86"/>
      <c r="AH11" s="88"/>
      <c r="AI11" s="84"/>
      <c r="AJ11" s="82"/>
      <c r="AK11" s="89"/>
      <c r="AL11" s="89"/>
    </row>
    <row r="12" spans="1:39" x14ac:dyDescent="0.25">
      <c r="A12" s="80" t="s">
        <v>177</v>
      </c>
      <c r="B12" s="82"/>
      <c r="C12" s="60">
        <v>1</v>
      </c>
      <c r="D12" s="2"/>
      <c r="E12" s="23">
        <v>12905426</v>
      </c>
      <c r="F12" s="83"/>
      <c r="G12" s="65">
        <v>1</v>
      </c>
      <c r="H12" s="2"/>
      <c r="I12" s="67">
        <v>5893660</v>
      </c>
      <c r="J12" s="84"/>
      <c r="K12" s="65">
        <v>1</v>
      </c>
      <c r="L12" s="2"/>
      <c r="M12" s="23">
        <v>13267177</v>
      </c>
      <c r="N12" s="83"/>
      <c r="O12" s="65">
        <v>2</v>
      </c>
      <c r="P12" s="2"/>
      <c r="Q12" s="67">
        <v>54253008</v>
      </c>
      <c r="R12" s="84"/>
      <c r="S12" s="27">
        <v>0</v>
      </c>
      <c r="T12" s="2"/>
      <c r="U12" s="23">
        <v>0</v>
      </c>
      <c r="V12" s="83"/>
      <c r="W12" s="27">
        <v>0</v>
      </c>
      <c r="X12" s="2"/>
      <c r="Y12" s="67">
        <v>0</v>
      </c>
      <c r="Z12" s="84"/>
      <c r="AA12" s="27">
        <v>3</v>
      </c>
      <c r="AB12" s="2"/>
      <c r="AC12" s="23">
        <v>44466104</v>
      </c>
      <c r="AD12" s="83"/>
      <c r="AE12" s="27">
        <v>0</v>
      </c>
      <c r="AF12" s="2"/>
      <c r="AG12" s="23">
        <v>0</v>
      </c>
      <c r="AH12" s="88"/>
      <c r="AI12" s="27">
        <v>8</v>
      </c>
      <c r="AJ12" s="2">
        <v>9</v>
      </c>
      <c r="AK12" s="6">
        <v>130785375</v>
      </c>
      <c r="AL12" s="6"/>
    </row>
    <row r="13" spans="1:39" x14ac:dyDescent="0.25">
      <c r="A13" s="80" t="s">
        <v>178</v>
      </c>
      <c r="B13" s="82"/>
      <c r="C13" s="60">
        <v>6</v>
      </c>
      <c r="D13" s="2"/>
      <c r="E13" s="23">
        <v>13151928</v>
      </c>
      <c r="F13" s="83"/>
      <c r="G13" s="65">
        <v>25</v>
      </c>
      <c r="H13" s="2"/>
      <c r="I13" s="67">
        <v>109562935</v>
      </c>
      <c r="J13" s="84"/>
      <c r="K13" s="65">
        <v>5</v>
      </c>
      <c r="L13" s="2"/>
      <c r="M13" s="23">
        <v>4463283</v>
      </c>
      <c r="N13" s="83"/>
      <c r="O13" s="65">
        <v>19</v>
      </c>
      <c r="P13" s="2"/>
      <c r="Q13" s="67">
        <v>83838350</v>
      </c>
      <c r="R13" s="84"/>
      <c r="S13" s="27">
        <v>16</v>
      </c>
      <c r="T13" s="2"/>
      <c r="U13" s="23">
        <v>290311300</v>
      </c>
      <c r="V13" s="83"/>
      <c r="W13" s="27">
        <v>1</v>
      </c>
      <c r="X13" s="2"/>
      <c r="Y13" s="67">
        <v>6972072</v>
      </c>
      <c r="Z13" s="84"/>
      <c r="AA13" s="27">
        <v>2</v>
      </c>
      <c r="AB13" s="2"/>
      <c r="AC13" s="23">
        <v>2781599</v>
      </c>
      <c r="AD13" s="83"/>
      <c r="AE13" s="27">
        <v>1</v>
      </c>
      <c r="AF13" s="2"/>
      <c r="AG13" s="23">
        <v>6500000</v>
      </c>
      <c r="AH13" s="88"/>
      <c r="AI13" s="27">
        <v>75</v>
      </c>
      <c r="AJ13" s="2">
        <v>178</v>
      </c>
      <c r="AK13" s="6">
        <v>517581468</v>
      </c>
      <c r="AL13" s="6"/>
    </row>
    <row r="14" spans="1:39" x14ac:dyDescent="0.25">
      <c r="A14" s="80" t="s">
        <v>179</v>
      </c>
      <c r="B14" s="82"/>
      <c r="C14" s="60">
        <v>2</v>
      </c>
      <c r="D14" s="2"/>
      <c r="E14" s="23">
        <v>5903376</v>
      </c>
      <c r="F14" s="83"/>
      <c r="G14" s="65">
        <v>12</v>
      </c>
      <c r="H14" s="2"/>
      <c r="I14" s="67">
        <v>25217701</v>
      </c>
      <c r="J14" s="84"/>
      <c r="K14" s="65">
        <v>0</v>
      </c>
      <c r="L14" s="2"/>
      <c r="M14" s="23">
        <v>0</v>
      </c>
      <c r="N14" s="83"/>
      <c r="O14" s="65">
        <v>7</v>
      </c>
      <c r="P14" s="2"/>
      <c r="Q14" s="67">
        <v>10124178</v>
      </c>
      <c r="R14" s="84"/>
      <c r="S14" s="27">
        <v>1</v>
      </c>
      <c r="T14" s="2"/>
      <c r="U14" s="23">
        <v>35571795</v>
      </c>
      <c r="V14" s="83"/>
      <c r="W14" s="27">
        <v>1</v>
      </c>
      <c r="X14" s="2"/>
      <c r="Y14" s="67">
        <v>1849733</v>
      </c>
      <c r="Z14" s="84"/>
      <c r="AA14" s="27">
        <v>4</v>
      </c>
      <c r="AB14" s="2"/>
      <c r="AC14" s="23">
        <v>8319549</v>
      </c>
      <c r="AD14" s="83"/>
      <c r="AE14" s="27">
        <v>1</v>
      </c>
      <c r="AF14" s="2"/>
      <c r="AG14" s="23">
        <v>1992021</v>
      </c>
      <c r="AH14" s="88"/>
      <c r="AI14" s="27">
        <v>28</v>
      </c>
      <c r="AJ14" s="2">
        <v>193</v>
      </c>
      <c r="AK14" s="6">
        <v>88978352</v>
      </c>
      <c r="AL14" s="6"/>
    </row>
    <row r="15" spans="1:39" x14ac:dyDescent="0.25">
      <c r="A15" s="90">
        <v>2014</v>
      </c>
      <c r="B15" s="4">
        <v>2</v>
      </c>
      <c r="C15" s="4">
        <v>3</v>
      </c>
      <c r="D15" s="4" t="s">
        <v>195</v>
      </c>
      <c r="E15" s="71">
        <v>16314757</v>
      </c>
      <c r="F15" s="72">
        <v>4</v>
      </c>
      <c r="G15" s="73">
        <v>56</v>
      </c>
      <c r="H15" s="4" t="s">
        <v>196</v>
      </c>
      <c r="I15" s="74">
        <v>343280207</v>
      </c>
      <c r="J15" s="73">
        <v>4</v>
      </c>
      <c r="K15" s="73">
        <v>8</v>
      </c>
      <c r="L15" s="4" t="s">
        <v>197</v>
      </c>
      <c r="M15" s="71">
        <v>27381239</v>
      </c>
      <c r="N15" s="72">
        <v>4</v>
      </c>
      <c r="O15" s="73">
        <v>27</v>
      </c>
      <c r="P15" s="4" t="s">
        <v>198</v>
      </c>
      <c r="Q15" s="74">
        <v>189824487</v>
      </c>
      <c r="R15" s="73">
        <v>8</v>
      </c>
      <c r="S15" s="73">
        <v>13</v>
      </c>
      <c r="T15" s="4" t="s">
        <v>199</v>
      </c>
      <c r="U15" s="71">
        <v>41599742</v>
      </c>
      <c r="V15" s="72">
        <v>1</v>
      </c>
      <c r="W15" s="73">
        <v>1</v>
      </c>
      <c r="X15" s="4" t="s">
        <v>171</v>
      </c>
      <c r="Y15" s="74">
        <v>1110000</v>
      </c>
      <c r="Z15" s="73">
        <v>3</v>
      </c>
      <c r="AA15" s="73">
        <v>7</v>
      </c>
      <c r="AB15" s="4" t="s">
        <v>200</v>
      </c>
      <c r="AC15" s="71">
        <v>28947674</v>
      </c>
      <c r="AD15" s="72">
        <v>2</v>
      </c>
      <c r="AE15" s="73">
        <v>4</v>
      </c>
      <c r="AF15" s="4" t="s">
        <v>188</v>
      </c>
      <c r="AG15" s="71">
        <v>35674041</v>
      </c>
      <c r="AH15" s="91" t="s">
        <v>406</v>
      </c>
      <c r="AI15" s="73">
        <v>119</v>
      </c>
      <c r="AJ15" s="4" t="s">
        <v>201</v>
      </c>
      <c r="AK15" s="92">
        <v>684132147</v>
      </c>
      <c r="AL15" s="71">
        <f>AK15/152</f>
        <v>4500869.3881578948</v>
      </c>
      <c r="AM15" s="107"/>
    </row>
    <row r="16" spans="1:39" x14ac:dyDescent="0.25">
      <c r="A16" s="85" t="s">
        <v>158</v>
      </c>
      <c r="B16" s="82"/>
      <c r="C16" s="82"/>
      <c r="D16" s="82"/>
      <c r="E16" s="86"/>
      <c r="F16" s="83"/>
      <c r="G16" s="84"/>
      <c r="H16" s="82"/>
      <c r="I16" s="87"/>
      <c r="J16" s="84"/>
      <c r="K16" s="84"/>
      <c r="L16" s="82"/>
      <c r="M16" s="86"/>
      <c r="N16" s="83"/>
      <c r="O16" s="84"/>
      <c r="P16" s="82"/>
      <c r="Q16" s="87"/>
      <c r="R16" s="84"/>
      <c r="S16" s="84"/>
      <c r="T16" s="82"/>
      <c r="U16" s="86"/>
      <c r="V16" s="83"/>
      <c r="W16" s="84"/>
      <c r="X16" s="82"/>
      <c r="Y16" s="87"/>
      <c r="Z16" s="84"/>
      <c r="AA16" s="84"/>
      <c r="AB16" s="82"/>
      <c r="AC16" s="86"/>
      <c r="AD16" s="83"/>
      <c r="AE16" s="84"/>
      <c r="AF16" s="82"/>
      <c r="AG16" s="86"/>
      <c r="AH16" s="88"/>
      <c r="AI16" s="84"/>
      <c r="AJ16" s="82"/>
      <c r="AK16" s="89"/>
      <c r="AL16" s="89"/>
    </row>
    <row r="17" spans="1:39" x14ac:dyDescent="0.25">
      <c r="A17" s="80" t="s">
        <v>177</v>
      </c>
      <c r="B17" s="82"/>
      <c r="C17" s="2">
        <v>1</v>
      </c>
      <c r="D17" s="2">
        <v>1</v>
      </c>
      <c r="E17" s="23">
        <v>14422044</v>
      </c>
      <c r="F17" s="83"/>
      <c r="G17" s="27">
        <v>3</v>
      </c>
      <c r="H17" s="2">
        <v>3</v>
      </c>
      <c r="I17" s="67">
        <v>34725538</v>
      </c>
      <c r="J17" s="84"/>
      <c r="K17" s="27">
        <v>3</v>
      </c>
      <c r="L17" s="2">
        <v>5</v>
      </c>
      <c r="M17" s="23">
        <v>19802986</v>
      </c>
      <c r="N17" s="83"/>
      <c r="O17" s="27">
        <v>4</v>
      </c>
      <c r="P17" s="2">
        <v>5</v>
      </c>
      <c r="Q17" s="67">
        <v>92765324</v>
      </c>
      <c r="R17" s="84"/>
      <c r="S17" s="27">
        <v>0</v>
      </c>
      <c r="T17" s="2">
        <v>0</v>
      </c>
      <c r="U17" s="23">
        <v>0</v>
      </c>
      <c r="V17" s="83"/>
      <c r="W17" s="27">
        <v>0</v>
      </c>
      <c r="X17" s="2">
        <v>0</v>
      </c>
      <c r="Y17" s="67">
        <v>0</v>
      </c>
      <c r="Z17" s="84"/>
      <c r="AA17" s="27">
        <v>3</v>
      </c>
      <c r="AB17" s="2">
        <v>7</v>
      </c>
      <c r="AC17" s="23">
        <v>22788837</v>
      </c>
      <c r="AD17" s="83"/>
      <c r="AE17" s="27">
        <v>2</v>
      </c>
      <c r="AF17" s="2">
        <v>2</v>
      </c>
      <c r="AG17" s="23">
        <v>23046612</v>
      </c>
      <c r="AH17" s="88"/>
      <c r="AI17" s="27">
        <v>16</v>
      </c>
      <c r="AJ17" s="2">
        <v>23</v>
      </c>
      <c r="AK17" s="6">
        <f>E17+I17+M17+Q17+U17+Y17+AC17+AG17</f>
        <v>207551341</v>
      </c>
      <c r="AL17" s="6">
        <f>AK17/23</f>
        <v>9023971.3478260878</v>
      </c>
      <c r="AM17" s="24"/>
    </row>
    <row r="18" spans="1:39" x14ac:dyDescent="0.25">
      <c r="A18" s="80" t="s">
        <v>178</v>
      </c>
      <c r="B18" s="82"/>
      <c r="C18" s="2">
        <v>1</v>
      </c>
      <c r="D18" s="2">
        <v>1</v>
      </c>
      <c r="E18" s="23">
        <v>482673</v>
      </c>
      <c r="F18" s="83"/>
      <c r="G18" s="27">
        <v>32</v>
      </c>
      <c r="H18" s="2">
        <v>38</v>
      </c>
      <c r="I18" s="67">
        <v>236505702</v>
      </c>
      <c r="J18" s="84"/>
      <c r="K18" s="27">
        <v>5</v>
      </c>
      <c r="L18" s="2">
        <v>5</v>
      </c>
      <c r="M18" s="23">
        <v>7578253</v>
      </c>
      <c r="N18" s="83"/>
      <c r="O18" s="27">
        <v>18</v>
      </c>
      <c r="P18" s="2">
        <v>27</v>
      </c>
      <c r="Q18" s="67">
        <v>69418191</v>
      </c>
      <c r="R18" s="84"/>
      <c r="S18" s="27">
        <v>11</v>
      </c>
      <c r="T18" s="2">
        <v>12</v>
      </c>
      <c r="U18" s="23">
        <v>39577297</v>
      </c>
      <c r="V18" s="83"/>
      <c r="W18" s="27">
        <v>0</v>
      </c>
      <c r="X18" s="2">
        <v>0</v>
      </c>
      <c r="Y18" s="67">
        <v>0</v>
      </c>
      <c r="Z18" s="84"/>
      <c r="AA18" s="27">
        <v>2</v>
      </c>
      <c r="AB18" s="2">
        <v>2</v>
      </c>
      <c r="AC18" s="23">
        <v>4703904</v>
      </c>
      <c r="AD18" s="83"/>
      <c r="AE18" s="27">
        <v>0</v>
      </c>
      <c r="AF18" s="2">
        <v>0</v>
      </c>
      <c r="AG18" s="23">
        <v>0</v>
      </c>
      <c r="AH18" s="88"/>
      <c r="AI18" s="27">
        <v>69</v>
      </c>
      <c r="AJ18" s="2">
        <v>85</v>
      </c>
      <c r="AK18" s="6">
        <v>358266020</v>
      </c>
      <c r="AL18" s="6">
        <f>AK18/85</f>
        <v>4214894.3529411769</v>
      </c>
    </row>
    <row r="19" spans="1:39" x14ac:dyDescent="0.25">
      <c r="A19" s="80" t="s">
        <v>179</v>
      </c>
      <c r="B19" s="82"/>
      <c r="C19" s="2">
        <v>1</v>
      </c>
      <c r="D19" s="2">
        <v>1</v>
      </c>
      <c r="E19" s="23">
        <v>1410040</v>
      </c>
      <c r="F19" s="83"/>
      <c r="G19" s="27">
        <v>21</v>
      </c>
      <c r="H19" s="2">
        <v>30</v>
      </c>
      <c r="I19" s="67">
        <v>72048967</v>
      </c>
      <c r="J19" s="84"/>
      <c r="K19" s="27">
        <v>0</v>
      </c>
      <c r="L19" s="2">
        <v>0</v>
      </c>
      <c r="M19" s="23">
        <v>0</v>
      </c>
      <c r="N19" s="83"/>
      <c r="O19" s="27">
        <v>5</v>
      </c>
      <c r="P19" s="2">
        <v>5</v>
      </c>
      <c r="Q19" s="67">
        <v>27640972</v>
      </c>
      <c r="R19" s="84"/>
      <c r="S19" s="27">
        <v>2</v>
      </c>
      <c r="T19" s="2">
        <v>2</v>
      </c>
      <c r="U19" s="23">
        <v>2022445</v>
      </c>
      <c r="V19" s="83"/>
      <c r="W19" s="27">
        <v>1</v>
      </c>
      <c r="X19" s="2">
        <v>1</v>
      </c>
      <c r="Y19" s="67">
        <v>1110000</v>
      </c>
      <c r="Z19" s="84"/>
      <c r="AA19" s="27">
        <v>2</v>
      </c>
      <c r="AB19" s="2">
        <v>3</v>
      </c>
      <c r="AC19" s="23">
        <v>1454933</v>
      </c>
      <c r="AD19" s="83"/>
      <c r="AE19" s="27">
        <v>2</v>
      </c>
      <c r="AF19" s="2">
        <v>2</v>
      </c>
      <c r="AG19" s="23">
        <v>12627429</v>
      </c>
      <c r="AH19" s="88"/>
      <c r="AI19" s="27">
        <v>34</v>
      </c>
      <c r="AJ19" s="2">
        <v>44</v>
      </c>
      <c r="AK19" s="6">
        <v>118314786</v>
      </c>
      <c r="AL19" s="6">
        <f>AK19/44</f>
        <v>2688972.4090909092</v>
      </c>
    </row>
    <row r="20" spans="1:39" x14ac:dyDescent="0.25">
      <c r="A20" s="90">
        <v>2015</v>
      </c>
      <c r="B20" s="4">
        <v>3</v>
      </c>
      <c r="C20" s="4">
        <v>5</v>
      </c>
      <c r="D20" s="70" t="s">
        <v>167</v>
      </c>
      <c r="E20" s="71">
        <v>14188632</v>
      </c>
      <c r="F20" s="72">
        <v>3</v>
      </c>
      <c r="G20" s="73">
        <v>38</v>
      </c>
      <c r="H20" s="70" t="s">
        <v>166</v>
      </c>
      <c r="I20" s="74">
        <v>190610922</v>
      </c>
      <c r="J20" s="73">
        <v>3</v>
      </c>
      <c r="K20" s="73">
        <v>8</v>
      </c>
      <c r="L20" s="70" t="s">
        <v>168</v>
      </c>
      <c r="M20" s="71">
        <v>23936091</v>
      </c>
      <c r="N20" s="72">
        <v>2</v>
      </c>
      <c r="O20" s="73">
        <v>13</v>
      </c>
      <c r="P20" s="70" t="s">
        <v>169</v>
      </c>
      <c r="Q20" s="74">
        <v>14105082</v>
      </c>
      <c r="R20" s="73">
        <v>7</v>
      </c>
      <c r="S20" s="73">
        <v>14</v>
      </c>
      <c r="T20" s="75" t="s">
        <v>170</v>
      </c>
      <c r="U20" s="71">
        <v>90764691</v>
      </c>
      <c r="V20" s="72">
        <v>1</v>
      </c>
      <c r="W20" s="73">
        <v>1</v>
      </c>
      <c r="X20" s="70" t="s">
        <v>171</v>
      </c>
      <c r="Y20" s="74">
        <v>820000</v>
      </c>
      <c r="Z20" s="73">
        <v>1</v>
      </c>
      <c r="AA20" s="73">
        <v>3</v>
      </c>
      <c r="AB20" s="70" t="s">
        <v>172</v>
      </c>
      <c r="AC20" s="71">
        <v>2387895</v>
      </c>
      <c r="AD20" s="72">
        <v>2</v>
      </c>
      <c r="AE20" s="73">
        <v>11</v>
      </c>
      <c r="AF20" s="70" t="s">
        <v>173</v>
      </c>
      <c r="AG20" s="71">
        <v>30762615</v>
      </c>
      <c r="AH20" s="91" t="s">
        <v>407</v>
      </c>
      <c r="AI20" s="73">
        <f>C20+G20+K20+O20+S20+W20+AA20+AE20</f>
        <v>93</v>
      </c>
      <c r="AJ20" s="70" t="s">
        <v>174</v>
      </c>
      <c r="AK20" s="92">
        <f>E20+I20+M20+Q20+U20+Y20+AC20+AG20</f>
        <v>367575928</v>
      </c>
      <c r="AL20" s="92">
        <f>AK20/273</f>
        <v>1346431.9706959706</v>
      </c>
    </row>
    <row r="21" spans="1:39" x14ac:dyDescent="0.25">
      <c r="A21" s="77" t="s">
        <v>158</v>
      </c>
      <c r="B21" s="78"/>
      <c r="C21" s="78"/>
      <c r="D21" s="78"/>
      <c r="E21" s="78"/>
      <c r="F21" s="78"/>
      <c r="G21" s="78"/>
      <c r="H21" s="78"/>
      <c r="I21" s="78"/>
      <c r="J21" s="78"/>
      <c r="K21" s="78"/>
      <c r="L21" s="78"/>
      <c r="M21" s="78"/>
      <c r="N21" s="78"/>
      <c r="O21" s="78"/>
      <c r="P21" s="78"/>
      <c r="Q21" s="78"/>
      <c r="R21" s="78"/>
      <c r="S21" s="78"/>
      <c r="T21" s="78"/>
      <c r="U21" s="78"/>
      <c r="V21" s="78"/>
      <c r="W21" s="78"/>
      <c r="X21" s="78"/>
      <c r="Y21" s="79"/>
      <c r="Z21" s="78"/>
      <c r="AA21" s="78"/>
      <c r="AB21" s="78"/>
      <c r="AC21" s="79"/>
      <c r="AD21" s="78"/>
      <c r="AE21" s="78"/>
      <c r="AF21" s="78"/>
      <c r="AG21" s="79"/>
      <c r="AH21" s="78"/>
      <c r="AI21" s="78"/>
      <c r="AJ21" s="78"/>
      <c r="AK21" s="78"/>
      <c r="AL21" s="78"/>
    </row>
    <row r="22" spans="1:39" x14ac:dyDescent="0.25">
      <c r="A22" s="80" t="s">
        <v>177</v>
      </c>
      <c r="B22" s="82"/>
      <c r="C22" s="2">
        <v>0</v>
      </c>
      <c r="D22" s="2">
        <v>0</v>
      </c>
      <c r="E22" s="23">
        <v>0</v>
      </c>
      <c r="F22" s="83"/>
      <c r="G22" s="2">
        <v>0</v>
      </c>
      <c r="H22" s="2">
        <v>0</v>
      </c>
      <c r="I22" s="67">
        <v>0</v>
      </c>
      <c r="J22" s="84"/>
      <c r="K22" s="2">
        <v>1</v>
      </c>
      <c r="L22" s="64" t="s">
        <v>171</v>
      </c>
      <c r="M22" s="23">
        <v>11126389</v>
      </c>
      <c r="N22" s="83"/>
      <c r="O22" s="2">
        <v>0</v>
      </c>
      <c r="P22" s="2">
        <v>0</v>
      </c>
      <c r="Q22" s="67">
        <v>0</v>
      </c>
      <c r="R22" s="84"/>
      <c r="S22" s="2">
        <v>0</v>
      </c>
      <c r="T22" s="2">
        <v>0</v>
      </c>
      <c r="U22" s="23">
        <v>0</v>
      </c>
      <c r="V22" s="83"/>
      <c r="W22" s="2">
        <v>0</v>
      </c>
      <c r="X22" s="64">
        <v>0</v>
      </c>
      <c r="Y22" s="67">
        <v>0</v>
      </c>
      <c r="Z22" s="84"/>
      <c r="AA22" s="2">
        <v>0</v>
      </c>
      <c r="AB22" s="2">
        <v>0</v>
      </c>
      <c r="AC22" s="23">
        <v>0</v>
      </c>
      <c r="AD22" s="83"/>
      <c r="AE22" s="2">
        <v>2</v>
      </c>
      <c r="AF22" s="2" t="s">
        <v>186</v>
      </c>
      <c r="AG22" s="81">
        <v>17779732</v>
      </c>
      <c r="AH22" s="84"/>
      <c r="AI22" s="2">
        <f>C22+G22+K22+O22+S22+W22+AA22+AE22</f>
        <v>3</v>
      </c>
      <c r="AJ22" s="64" t="s">
        <v>172</v>
      </c>
      <c r="AK22" s="6">
        <f>E22+I22+M22+Q22+U22+Y22+AC22+AG22</f>
        <v>28906121</v>
      </c>
      <c r="AL22" s="6">
        <f>AK22/3</f>
        <v>9635373.666666666</v>
      </c>
    </row>
    <row r="23" spans="1:39" x14ac:dyDescent="0.25">
      <c r="A23" s="80" t="s">
        <v>178</v>
      </c>
      <c r="B23" s="82"/>
      <c r="C23" s="2">
        <v>4</v>
      </c>
      <c r="D23" s="64" t="s">
        <v>182</v>
      </c>
      <c r="E23" s="23">
        <v>13183836</v>
      </c>
      <c r="F23" s="83"/>
      <c r="G23" s="2">
        <v>26</v>
      </c>
      <c r="H23" s="64" t="s">
        <v>183</v>
      </c>
      <c r="I23" s="67">
        <v>168416526</v>
      </c>
      <c r="J23" s="84"/>
      <c r="K23" s="2">
        <v>5</v>
      </c>
      <c r="L23" s="64" t="s">
        <v>185</v>
      </c>
      <c r="M23" s="23">
        <v>7987892</v>
      </c>
      <c r="N23" s="83"/>
      <c r="O23" s="2">
        <v>10</v>
      </c>
      <c r="P23" s="64" t="s">
        <v>187</v>
      </c>
      <c r="Q23" s="67">
        <v>11504967</v>
      </c>
      <c r="R23" s="84"/>
      <c r="S23" s="2">
        <v>12</v>
      </c>
      <c r="T23" s="64" t="s">
        <v>189</v>
      </c>
      <c r="U23" s="23">
        <v>87140780</v>
      </c>
      <c r="V23" s="83"/>
      <c r="W23" s="2">
        <v>0</v>
      </c>
      <c r="X23" s="64">
        <v>0</v>
      </c>
      <c r="Y23" s="67">
        <v>0</v>
      </c>
      <c r="Z23" s="84"/>
      <c r="AA23" s="2">
        <v>1</v>
      </c>
      <c r="AB23" s="64" t="s">
        <v>171</v>
      </c>
      <c r="AC23" s="23">
        <v>1374120</v>
      </c>
      <c r="AD23" s="83"/>
      <c r="AE23" s="2">
        <v>6</v>
      </c>
      <c r="AF23" s="2" t="s">
        <v>191</v>
      </c>
      <c r="AG23" s="81">
        <v>8403279</v>
      </c>
      <c r="AH23" s="84"/>
      <c r="AI23" s="2">
        <v>64</v>
      </c>
      <c r="AJ23" s="64" t="s">
        <v>192</v>
      </c>
      <c r="AK23" s="6">
        <f>E23+I23+M23+Q23+U23+Y23+AC23+AG23</f>
        <v>298011400</v>
      </c>
      <c r="AL23" s="6">
        <f>AK23/151</f>
        <v>1973585.4304635762</v>
      </c>
    </row>
    <row r="24" spans="1:39" x14ac:dyDescent="0.25">
      <c r="A24" s="80" t="s">
        <v>179</v>
      </c>
      <c r="B24" s="82"/>
      <c r="C24" s="2">
        <v>1</v>
      </c>
      <c r="D24" s="64" t="s">
        <v>171</v>
      </c>
      <c r="E24" s="23">
        <v>1004796</v>
      </c>
      <c r="F24" s="83"/>
      <c r="G24" s="2">
        <v>12</v>
      </c>
      <c r="H24" s="64" t="s">
        <v>184</v>
      </c>
      <c r="I24" s="67">
        <v>22194396</v>
      </c>
      <c r="J24" s="84"/>
      <c r="K24" s="2">
        <v>2</v>
      </c>
      <c r="L24" s="64" t="s">
        <v>186</v>
      </c>
      <c r="M24" s="23">
        <v>4821810</v>
      </c>
      <c r="N24" s="83"/>
      <c r="O24" s="2">
        <v>3</v>
      </c>
      <c r="P24" s="64" t="s">
        <v>188</v>
      </c>
      <c r="Q24" s="67">
        <v>2600115</v>
      </c>
      <c r="R24" s="84"/>
      <c r="S24" s="2">
        <v>2</v>
      </c>
      <c r="T24" s="64" t="s">
        <v>190</v>
      </c>
      <c r="U24" s="23">
        <v>3623911</v>
      </c>
      <c r="V24" s="83"/>
      <c r="W24" s="2">
        <v>1</v>
      </c>
      <c r="X24" s="64" t="s">
        <v>171</v>
      </c>
      <c r="Y24" s="67">
        <v>820000</v>
      </c>
      <c r="Z24" s="84"/>
      <c r="AA24" s="2">
        <v>2</v>
      </c>
      <c r="AB24" s="64" t="s">
        <v>186</v>
      </c>
      <c r="AC24" s="23">
        <v>1013775</v>
      </c>
      <c r="AD24" s="83"/>
      <c r="AE24" s="2">
        <v>3</v>
      </c>
      <c r="AF24" s="2" t="s">
        <v>172</v>
      </c>
      <c r="AG24" s="81">
        <v>4579604</v>
      </c>
      <c r="AH24" s="84"/>
      <c r="AI24" s="2">
        <v>26</v>
      </c>
      <c r="AJ24" s="64" t="s">
        <v>193</v>
      </c>
      <c r="AK24" s="6">
        <f>E24+I24+M24+Q24+U24+Y24+AC24+AG24</f>
        <v>40658407</v>
      </c>
      <c r="AL24" s="6">
        <f>AK24/119</f>
        <v>341667.28571428574</v>
      </c>
    </row>
    <row r="25" spans="1:39" x14ac:dyDescent="0.25">
      <c r="A25" s="90">
        <v>2016</v>
      </c>
      <c r="B25" s="4">
        <v>2</v>
      </c>
      <c r="C25" s="4">
        <f>C27+C28+C29</f>
        <v>5</v>
      </c>
      <c r="D25" s="70">
        <f>D27+D28+D29</f>
        <v>5</v>
      </c>
      <c r="E25" s="71">
        <f>E27+E28+E29</f>
        <v>7870028</v>
      </c>
      <c r="F25" s="72">
        <v>3</v>
      </c>
      <c r="G25" s="73">
        <f>G27+G28+G29</f>
        <v>46</v>
      </c>
      <c r="H25" s="70" t="s">
        <v>457</v>
      </c>
      <c r="I25" s="74">
        <f>I27+I28+I29</f>
        <v>289295438</v>
      </c>
      <c r="J25" s="73">
        <v>1</v>
      </c>
      <c r="K25" s="73">
        <f>K27+K28+K29</f>
        <v>5</v>
      </c>
      <c r="L25" s="70">
        <f>L27+L28+L29</f>
        <v>6</v>
      </c>
      <c r="M25" s="71">
        <f>M27+M28+M29</f>
        <v>4457918</v>
      </c>
      <c r="N25" s="72">
        <v>3</v>
      </c>
      <c r="O25" s="73">
        <f>O27+O28+O29</f>
        <v>16</v>
      </c>
      <c r="P25" s="70">
        <f>P27+P28+P29</f>
        <v>27</v>
      </c>
      <c r="Q25" s="74">
        <f>Q27+Q28+Q29</f>
        <v>35441604</v>
      </c>
      <c r="R25" s="73">
        <v>9</v>
      </c>
      <c r="S25" s="73">
        <f>S27+S28+S29</f>
        <v>18</v>
      </c>
      <c r="T25" s="75" t="s">
        <v>458</v>
      </c>
      <c r="U25" s="71">
        <f>U27+U28+U29</f>
        <v>283043980</v>
      </c>
      <c r="V25" s="72">
        <v>1</v>
      </c>
      <c r="W25" s="73">
        <f>W27+W28+W29</f>
        <v>2</v>
      </c>
      <c r="X25" s="70">
        <f>X27+X28+X29</f>
        <v>20</v>
      </c>
      <c r="Y25" s="74">
        <f>Y27+Y28+Y29</f>
        <v>10000000</v>
      </c>
      <c r="Z25" s="73">
        <v>2</v>
      </c>
      <c r="AA25" s="73">
        <f>AA27+AA28+AA29</f>
        <v>3</v>
      </c>
      <c r="AB25" s="70" t="s">
        <v>438</v>
      </c>
      <c r="AC25" s="71">
        <f>AC27+AC28+AC29</f>
        <v>11777007</v>
      </c>
      <c r="AD25" s="72">
        <v>1</v>
      </c>
      <c r="AE25" s="73">
        <f>AE27+AE28+AE29</f>
        <v>3</v>
      </c>
      <c r="AF25" s="70" t="s">
        <v>459</v>
      </c>
      <c r="AG25" s="71">
        <f>AG27+AG28+AG29</f>
        <v>6740253</v>
      </c>
      <c r="AH25" s="91" t="s">
        <v>442</v>
      </c>
      <c r="AI25" s="73">
        <f>AI27+AI28+AI29</f>
        <v>98</v>
      </c>
      <c r="AJ25" s="70" t="s">
        <v>460</v>
      </c>
      <c r="AK25" s="92">
        <f>AK27+AK28+AK29</f>
        <v>648626228</v>
      </c>
      <c r="AL25" s="92">
        <f>AK25/146</f>
        <v>4442645.3972602738</v>
      </c>
    </row>
    <row r="26" spans="1:39" x14ac:dyDescent="0.25">
      <c r="A26" s="77" t="s">
        <v>158</v>
      </c>
      <c r="B26" s="78"/>
      <c r="C26" s="78"/>
      <c r="D26" s="78"/>
      <c r="E26" s="78"/>
      <c r="F26" s="78"/>
      <c r="G26" s="78"/>
      <c r="H26" s="78"/>
      <c r="I26" s="78"/>
      <c r="J26" s="78"/>
      <c r="K26" s="78"/>
      <c r="L26" s="78"/>
      <c r="M26" s="78"/>
      <c r="N26" s="78"/>
      <c r="O26" s="78"/>
      <c r="P26" s="78"/>
      <c r="Q26" s="78"/>
      <c r="R26" s="78"/>
      <c r="S26" s="78"/>
      <c r="T26" s="78"/>
      <c r="U26" s="78"/>
      <c r="V26" s="78"/>
      <c r="W26" s="78"/>
      <c r="X26" s="78"/>
      <c r="Y26" s="79"/>
      <c r="Z26" s="78"/>
      <c r="AA26" s="78"/>
      <c r="AB26" s="78"/>
      <c r="AC26" s="79"/>
      <c r="AD26" s="78"/>
      <c r="AE26" s="78"/>
      <c r="AF26" s="78"/>
      <c r="AG26" s="79"/>
      <c r="AH26" s="78"/>
      <c r="AI26" s="78"/>
      <c r="AJ26" s="78"/>
      <c r="AK26" s="78"/>
      <c r="AL26" s="78"/>
    </row>
    <row r="27" spans="1:39" x14ac:dyDescent="0.25">
      <c r="A27" s="80" t="s">
        <v>177</v>
      </c>
      <c r="B27" s="82"/>
      <c r="C27" s="2">
        <v>0</v>
      </c>
      <c r="D27" s="2">
        <v>0</v>
      </c>
      <c r="E27" s="23">
        <v>0</v>
      </c>
      <c r="F27" s="83"/>
      <c r="G27" s="2">
        <v>2</v>
      </c>
      <c r="H27" s="2">
        <v>2</v>
      </c>
      <c r="I27" s="67">
        <v>117225945</v>
      </c>
      <c r="J27" s="84"/>
      <c r="K27" s="2">
        <v>0</v>
      </c>
      <c r="L27" s="265">
        <v>0</v>
      </c>
      <c r="M27" s="23">
        <v>0</v>
      </c>
      <c r="N27" s="83"/>
      <c r="O27" s="2">
        <v>0</v>
      </c>
      <c r="P27" s="2">
        <v>0</v>
      </c>
      <c r="Q27" s="67">
        <v>0</v>
      </c>
      <c r="R27" s="84"/>
      <c r="S27" s="2">
        <v>0</v>
      </c>
      <c r="T27" s="2">
        <v>0</v>
      </c>
      <c r="U27" s="23">
        <v>0</v>
      </c>
      <c r="V27" s="83"/>
      <c r="W27" s="2">
        <v>0</v>
      </c>
      <c r="X27" s="265">
        <v>0</v>
      </c>
      <c r="Y27" s="67">
        <v>0</v>
      </c>
      <c r="Z27" s="84"/>
      <c r="AA27" s="2">
        <v>1</v>
      </c>
      <c r="AB27" s="277" t="s">
        <v>434</v>
      </c>
      <c r="AC27" s="23">
        <v>7016282</v>
      </c>
      <c r="AD27" s="83"/>
      <c r="AE27" s="2">
        <v>0</v>
      </c>
      <c r="AF27" s="2">
        <v>0</v>
      </c>
      <c r="AG27" s="81">
        <v>0</v>
      </c>
      <c r="AH27" s="84"/>
      <c r="AI27" s="2">
        <f>C27+G27+K27+O27+S27+W27+AA27+AE27</f>
        <v>3</v>
      </c>
      <c r="AJ27" s="265" t="s">
        <v>438</v>
      </c>
      <c r="AK27" s="6">
        <f>E27+I27+M27+Q27+U27+Y27+AC27+AG27</f>
        <v>124242227</v>
      </c>
      <c r="AL27" s="6">
        <f>AK27/4</f>
        <v>31060556.75</v>
      </c>
    </row>
    <row r="28" spans="1:39" x14ac:dyDescent="0.25">
      <c r="A28" s="80" t="s">
        <v>178</v>
      </c>
      <c r="B28" s="82"/>
      <c r="C28" s="2">
        <v>2</v>
      </c>
      <c r="D28" s="265">
        <v>2</v>
      </c>
      <c r="E28" s="23">
        <v>1198373</v>
      </c>
      <c r="F28" s="83"/>
      <c r="G28" s="2">
        <v>28</v>
      </c>
      <c r="H28" s="265" t="s">
        <v>436</v>
      </c>
      <c r="I28" s="67">
        <v>126864073</v>
      </c>
      <c r="J28" s="84"/>
      <c r="K28" s="2">
        <v>4</v>
      </c>
      <c r="L28" s="265">
        <v>5</v>
      </c>
      <c r="M28" s="23">
        <v>3812918</v>
      </c>
      <c r="N28" s="83"/>
      <c r="O28" s="2">
        <v>13</v>
      </c>
      <c r="P28" s="265">
        <v>23</v>
      </c>
      <c r="Q28" s="67">
        <v>30187483</v>
      </c>
      <c r="R28" s="84"/>
      <c r="S28" s="2">
        <v>17</v>
      </c>
      <c r="T28" s="114" t="s">
        <v>435</v>
      </c>
      <c r="U28" s="23">
        <v>183043980</v>
      </c>
      <c r="V28" s="83"/>
      <c r="W28" s="2">
        <v>1</v>
      </c>
      <c r="X28" s="265">
        <v>18</v>
      </c>
      <c r="Y28" s="67">
        <v>6000000</v>
      </c>
      <c r="Z28" s="84"/>
      <c r="AA28" s="2">
        <v>1</v>
      </c>
      <c r="AB28" s="265">
        <v>1</v>
      </c>
      <c r="AC28" s="23">
        <v>998800</v>
      </c>
      <c r="AD28" s="83"/>
      <c r="AE28" s="2">
        <v>2</v>
      </c>
      <c r="AF28" s="277" t="s">
        <v>190</v>
      </c>
      <c r="AG28" s="81">
        <v>6496573</v>
      </c>
      <c r="AH28" s="84"/>
      <c r="AI28" s="2">
        <f>C28+G28+K28+O28+S28+W28+AA28+AE28</f>
        <v>68</v>
      </c>
      <c r="AJ28" s="265" t="s">
        <v>439</v>
      </c>
      <c r="AK28" s="6">
        <f>E28+I28+M28+Q28+U28+Y28+AC28+AG28</f>
        <v>358602200</v>
      </c>
      <c r="AL28" s="6">
        <f>AK28/109</f>
        <v>3289928.4403669727</v>
      </c>
    </row>
    <row r="29" spans="1:39" x14ac:dyDescent="0.25">
      <c r="A29" s="80" t="s">
        <v>179</v>
      </c>
      <c r="B29" s="82"/>
      <c r="C29" s="2">
        <v>3</v>
      </c>
      <c r="D29" s="265">
        <v>3</v>
      </c>
      <c r="E29" s="23">
        <v>6671655</v>
      </c>
      <c r="F29" s="83"/>
      <c r="G29" s="2">
        <v>16</v>
      </c>
      <c r="H29" s="265" t="s">
        <v>437</v>
      </c>
      <c r="I29" s="67">
        <v>45205420</v>
      </c>
      <c r="J29" s="84"/>
      <c r="K29" s="2">
        <v>1</v>
      </c>
      <c r="L29" s="265">
        <v>1</v>
      </c>
      <c r="M29" s="23">
        <v>645000</v>
      </c>
      <c r="N29" s="83"/>
      <c r="O29" s="2">
        <v>3</v>
      </c>
      <c r="P29" s="265">
        <v>4</v>
      </c>
      <c r="Q29" s="67">
        <v>5254121</v>
      </c>
      <c r="R29" s="84"/>
      <c r="S29" s="2">
        <v>1</v>
      </c>
      <c r="T29" s="265">
        <v>1</v>
      </c>
      <c r="U29" s="23">
        <v>100000000</v>
      </c>
      <c r="V29" s="83"/>
      <c r="W29" s="2">
        <v>1</v>
      </c>
      <c r="X29" s="265">
        <v>2</v>
      </c>
      <c r="Y29" s="67">
        <v>4000000</v>
      </c>
      <c r="Z29" s="84"/>
      <c r="AA29" s="2">
        <v>1</v>
      </c>
      <c r="AB29" s="265">
        <v>1</v>
      </c>
      <c r="AC29" s="23">
        <v>3761925</v>
      </c>
      <c r="AD29" s="83"/>
      <c r="AE29" s="2">
        <v>1</v>
      </c>
      <c r="AF29" s="2">
        <v>1</v>
      </c>
      <c r="AG29" s="81">
        <v>243680</v>
      </c>
      <c r="AH29" s="84"/>
      <c r="AI29" s="2">
        <f>C29+G29+K29+O29+S29+W29+AA29+AE29</f>
        <v>27</v>
      </c>
      <c r="AJ29" s="265" t="s">
        <v>440</v>
      </c>
      <c r="AK29" s="6">
        <f>E29+I29+M29+Q29+U29+Y29+AC29+AG29</f>
        <v>165781801</v>
      </c>
      <c r="AL29" s="6">
        <f>AK29/33</f>
        <v>5023690.9393939395</v>
      </c>
    </row>
    <row r="30" spans="1:39" x14ac:dyDescent="0.25">
      <c r="A30" s="90">
        <v>2017</v>
      </c>
      <c r="B30" s="4">
        <v>4</v>
      </c>
      <c r="C30" s="4">
        <f>C32+C33+C34</f>
        <v>5</v>
      </c>
      <c r="D30" s="70" t="s">
        <v>588</v>
      </c>
      <c r="E30" s="71">
        <f>E32+E33+E34</f>
        <v>18220040</v>
      </c>
      <c r="F30" s="72">
        <v>3</v>
      </c>
      <c r="G30" s="73">
        <f>G32+G33+G34</f>
        <v>45</v>
      </c>
      <c r="H30" s="70" t="s">
        <v>596</v>
      </c>
      <c r="I30" s="74">
        <f>I32+I33+I34</f>
        <v>118470157</v>
      </c>
      <c r="J30" s="73">
        <v>3</v>
      </c>
      <c r="K30" s="73">
        <f>K32+K33+K34</f>
        <v>10</v>
      </c>
      <c r="L30" s="70">
        <f>L32+L33+L34</f>
        <v>11</v>
      </c>
      <c r="M30" s="71">
        <f>M32+M33+M34</f>
        <v>30320403</v>
      </c>
      <c r="N30" s="72">
        <v>2</v>
      </c>
      <c r="O30" s="73">
        <f>O32+O33+O34</f>
        <v>11</v>
      </c>
      <c r="P30" s="70">
        <f>P32+P33+P34</f>
        <v>13</v>
      </c>
      <c r="Q30" s="74">
        <f>Q32+Q33+Q34</f>
        <v>25820171</v>
      </c>
      <c r="R30" s="73">
        <v>5</v>
      </c>
      <c r="S30" s="73">
        <v>9</v>
      </c>
      <c r="T30" s="354" t="s">
        <v>592</v>
      </c>
      <c r="U30" s="71">
        <f>U32+U33+U34</f>
        <v>55229607</v>
      </c>
      <c r="V30" s="72">
        <v>1</v>
      </c>
      <c r="W30" s="73">
        <f>W32+W33+W34</f>
        <v>3</v>
      </c>
      <c r="X30" s="70">
        <f>X32+X33+X34</f>
        <v>3</v>
      </c>
      <c r="Y30" s="74">
        <f>Y32+Y33+Y34</f>
        <v>5949300</v>
      </c>
      <c r="Z30" s="73">
        <v>3</v>
      </c>
      <c r="AA30" s="73">
        <f>AA32+AA33+AA34</f>
        <v>5</v>
      </c>
      <c r="AB30" s="70" t="s">
        <v>586</v>
      </c>
      <c r="AC30" s="71">
        <f>AC32+AC33+AC34</f>
        <v>20897307</v>
      </c>
      <c r="AD30" s="72">
        <v>1</v>
      </c>
      <c r="AE30" s="73">
        <f>AE32+AE33+AE34</f>
        <v>2</v>
      </c>
      <c r="AF30" s="70">
        <v>2</v>
      </c>
      <c r="AG30" s="71">
        <f>AG32+AG33+AG34</f>
        <v>1920434</v>
      </c>
      <c r="AH30" s="91" t="s">
        <v>589</v>
      </c>
      <c r="AI30" s="73">
        <f>AI32+AI33+AI34</f>
        <v>90</v>
      </c>
      <c r="AJ30" s="70" t="s">
        <v>598</v>
      </c>
      <c r="AK30" s="92">
        <f>AK32+AK33+AK34</f>
        <v>276827419</v>
      </c>
      <c r="AL30" s="92">
        <f>AK30/146</f>
        <v>1896078.2123287672</v>
      </c>
    </row>
    <row r="31" spans="1:39" x14ac:dyDescent="0.25">
      <c r="A31" s="77" t="s">
        <v>158</v>
      </c>
      <c r="B31" s="78"/>
      <c r="C31" s="78"/>
      <c r="D31" s="78"/>
      <c r="E31" s="78"/>
      <c r="F31" s="78"/>
      <c r="G31" s="78"/>
      <c r="H31" s="78"/>
      <c r="I31" s="78"/>
      <c r="J31" s="78"/>
      <c r="K31" s="78"/>
      <c r="L31" s="78"/>
      <c r="M31" s="78"/>
      <c r="N31" s="78"/>
      <c r="O31" s="78"/>
      <c r="P31" s="78"/>
      <c r="Q31" s="78"/>
      <c r="R31" s="78"/>
      <c r="S31" s="78"/>
      <c r="T31" s="78"/>
      <c r="U31" s="78"/>
      <c r="V31" s="78"/>
      <c r="W31" s="78"/>
      <c r="X31" s="78"/>
      <c r="Y31" s="79"/>
      <c r="Z31" s="78"/>
      <c r="AA31" s="78"/>
      <c r="AB31" s="78"/>
      <c r="AC31" s="79"/>
      <c r="AD31" s="78"/>
      <c r="AE31" s="78"/>
      <c r="AF31" s="78"/>
      <c r="AG31" s="79"/>
      <c r="AH31" s="78"/>
      <c r="AI31" s="78"/>
      <c r="AJ31" s="78"/>
      <c r="AK31" s="78"/>
      <c r="AL31" s="78"/>
    </row>
    <row r="32" spans="1:39" x14ac:dyDescent="0.25">
      <c r="A32" s="80" t="s">
        <v>177</v>
      </c>
      <c r="B32" s="82"/>
      <c r="C32" s="2">
        <v>1</v>
      </c>
      <c r="D32" s="2">
        <v>1</v>
      </c>
      <c r="E32" s="23">
        <v>10820124</v>
      </c>
      <c r="F32" s="83"/>
      <c r="G32" s="2">
        <v>0</v>
      </c>
      <c r="H32" s="2">
        <v>0</v>
      </c>
      <c r="I32" s="67">
        <v>0</v>
      </c>
      <c r="J32" s="84"/>
      <c r="K32" s="2">
        <v>1</v>
      </c>
      <c r="L32" s="314">
        <v>1</v>
      </c>
      <c r="M32" s="23">
        <v>20999980</v>
      </c>
      <c r="N32" s="83"/>
      <c r="O32" s="2">
        <v>0</v>
      </c>
      <c r="P32" s="2">
        <v>0</v>
      </c>
      <c r="Q32" s="67">
        <v>0</v>
      </c>
      <c r="R32" s="84"/>
      <c r="S32" s="2">
        <v>1</v>
      </c>
      <c r="T32" s="2">
        <v>1</v>
      </c>
      <c r="U32" s="23">
        <v>5646480</v>
      </c>
      <c r="V32" s="83"/>
      <c r="W32" s="2">
        <v>0</v>
      </c>
      <c r="X32" s="314">
        <v>0</v>
      </c>
      <c r="Y32" s="67">
        <v>0</v>
      </c>
      <c r="Z32" s="84"/>
      <c r="AA32" s="2">
        <v>1</v>
      </c>
      <c r="AB32" s="314" t="s">
        <v>585</v>
      </c>
      <c r="AC32" s="23">
        <v>18000000</v>
      </c>
      <c r="AD32" s="83"/>
      <c r="AE32" s="2">
        <v>0</v>
      </c>
      <c r="AF32" s="2">
        <v>0</v>
      </c>
      <c r="AG32" s="81">
        <v>0</v>
      </c>
      <c r="AH32" s="84"/>
      <c r="AI32" s="2">
        <f>C32+G32+K32+O32+S32+W32+AA32+AE32</f>
        <v>4</v>
      </c>
      <c r="AJ32" s="314" t="s">
        <v>590</v>
      </c>
      <c r="AK32" s="6">
        <f>E32+I32+M32+Q32+U32+Y32+AC32+AG32</f>
        <v>55466584</v>
      </c>
      <c r="AL32" s="6">
        <f>AK32/8</f>
        <v>6933323</v>
      </c>
    </row>
    <row r="33" spans="1:38" x14ac:dyDescent="0.25">
      <c r="A33" s="80" t="s">
        <v>178</v>
      </c>
      <c r="B33" s="82"/>
      <c r="C33" s="2">
        <v>1</v>
      </c>
      <c r="D33" s="314">
        <v>1</v>
      </c>
      <c r="E33" s="23">
        <v>2000000</v>
      </c>
      <c r="F33" s="83"/>
      <c r="G33" s="2">
        <v>26</v>
      </c>
      <c r="H33" s="320" t="s">
        <v>626</v>
      </c>
      <c r="I33" s="67">
        <v>79007540</v>
      </c>
      <c r="J33" s="84"/>
      <c r="K33" s="2">
        <v>6</v>
      </c>
      <c r="L33" s="314">
        <v>7</v>
      </c>
      <c r="M33" s="23">
        <v>6204045</v>
      </c>
      <c r="N33" s="83"/>
      <c r="O33" s="2">
        <v>9</v>
      </c>
      <c r="P33" s="314">
        <v>10</v>
      </c>
      <c r="Q33" s="67">
        <v>23598825</v>
      </c>
      <c r="R33" s="84"/>
      <c r="S33" s="2">
        <v>6</v>
      </c>
      <c r="T33" s="114" t="s">
        <v>587</v>
      </c>
      <c r="U33" s="23">
        <v>47631117</v>
      </c>
      <c r="V33" s="83"/>
      <c r="W33" s="2">
        <v>2</v>
      </c>
      <c r="X33" s="314">
        <v>2</v>
      </c>
      <c r="Y33" s="67">
        <v>4654980</v>
      </c>
      <c r="Z33" s="84"/>
      <c r="AA33" s="2">
        <v>0</v>
      </c>
      <c r="AB33" s="314">
        <v>0</v>
      </c>
      <c r="AC33" s="23">
        <v>0</v>
      </c>
      <c r="AD33" s="83"/>
      <c r="AE33" s="2">
        <v>1</v>
      </c>
      <c r="AF33" s="314">
        <v>1</v>
      </c>
      <c r="AG33" s="81">
        <v>984250</v>
      </c>
      <c r="AH33" s="84"/>
      <c r="AI33" s="2">
        <f>C33+G33+K33+O33+S33+W33+AA33+AE33</f>
        <v>51</v>
      </c>
      <c r="AJ33" s="314" t="s">
        <v>627</v>
      </c>
      <c r="AK33" s="6">
        <f>E33+I33+M33+Q33+U33+Y33+AC33+AG33</f>
        <v>164080757</v>
      </c>
      <c r="AL33" s="6">
        <f>AK33/70</f>
        <v>2344010.8142857142</v>
      </c>
    </row>
    <row r="34" spans="1:38" x14ac:dyDescent="0.25">
      <c r="A34" s="80" t="s">
        <v>179</v>
      </c>
      <c r="B34" s="82"/>
      <c r="C34" s="2">
        <v>3</v>
      </c>
      <c r="D34" s="314" t="s">
        <v>587</v>
      </c>
      <c r="E34" s="23">
        <v>5399916</v>
      </c>
      <c r="F34" s="83"/>
      <c r="G34" s="2">
        <v>19</v>
      </c>
      <c r="H34" s="320" t="s">
        <v>595</v>
      </c>
      <c r="I34" s="67">
        <v>39462617</v>
      </c>
      <c r="J34" s="84"/>
      <c r="K34" s="2">
        <v>3</v>
      </c>
      <c r="L34" s="314">
        <v>3</v>
      </c>
      <c r="M34" s="23">
        <v>3116378</v>
      </c>
      <c r="N34" s="83"/>
      <c r="O34" s="2">
        <v>2</v>
      </c>
      <c r="P34" s="314">
        <v>3</v>
      </c>
      <c r="Q34" s="67">
        <v>2221346</v>
      </c>
      <c r="R34" s="84"/>
      <c r="S34" s="2">
        <v>2</v>
      </c>
      <c r="T34" s="314">
        <v>2</v>
      </c>
      <c r="U34" s="23">
        <v>1952010</v>
      </c>
      <c r="V34" s="83"/>
      <c r="W34" s="2">
        <v>1</v>
      </c>
      <c r="X34" s="314">
        <v>1</v>
      </c>
      <c r="Y34" s="67">
        <v>1294320</v>
      </c>
      <c r="Z34" s="84"/>
      <c r="AA34" s="2">
        <v>4</v>
      </c>
      <c r="AB34" s="314">
        <v>5</v>
      </c>
      <c r="AC34" s="23">
        <v>2897307</v>
      </c>
      <c r="AD34" s="83"/>
      <c r="AE34" s="2">
        <v>1</v>
      </c>
      <c r="AF34" s="2">
        <v>1</v>
      </c>
      <c r="AG34" s="81">
        <v>936184</v>
      </c>
      <c r="AH34" s="84"/>
      <c r="AI34" s="2">
        <f>C34+G34+K34+O34+S34+W34+AA34+AE34</f>
        <v>35</v>
      </c>
      <c r="AJ34" s="314" t="s">
        <v>628</v>
      </c>
      <c r="AK34" s="6">
        <f>E34+I34+M34+Q34+U34+Y34+AC34+AG34</f>
        <v>57280078</v>
      </c>
      <c r="AL34" s="6">
        <f>AK34/185</f>
        <v>309622.04324324324</v>
      </c>
    </row>
    <row r="35" spans="1:38" x14ac:dyDescent="0.25">
      <c r="E35" s="24"/>
      <c r="I35" s="24"/>
      <c r="M35" s="24"/>
      <c r="Q35" s="24"/>
      <c r="U35" s="24"/>
      <c r="AC35" s="24"/>
      <c r="AG35" s="24"/>
      <c r="AI35" s="93"/>
      <c r="AK35" s="24"/>
    </row>
    <row r="36" spans="1:38" x14ac:dyDescent="0.25">
      <c r="A36" s="97" t="s">
        <v>213</v>
      </c>
      <c r="E36" s="24"/>
      <c r="I36" s="24"/>
      <c r="M36" s="24"/>
      <c r="Q36" s="24"/>
      <c r="U36" s="24"/>
      <c r="AC36" s="24"/>
      <c r="AG36" s="24"/>
      <c r="AI36" s="93"/>
      <c r="AK36" s="24"/>
    </row>
    <row r="37" spans="1:38" ht="30.75" customHeight="1" x14ac:dyDescent="0.25">
      <c r="A37" s="420" t="s">
        <v>214</v>
      </c>
      <c r="B37" s="420"/>
      <c r="C37" s="420"/>
      <c r="D37" s="420"/>
      <c r="E37" s="420"/>
      <c r="F37" s="420"/>
      <c r="G37" s="420"/>
      <c r="H37" s="420"/>
      <c r="I37" s="420"/>
      <c r="J37" s="420"/>
      <c r="K37" s="420"/>
      <c r="L37" s="420"/>
      <c r="M37" s="420"/>
      <c r="N37" s="420"/>
      <c r="O37" s="420"/>
      <c r="P37" s="420"/>
      <c r="Q37" s="420"/>
      <c r="R37" s="420"/>
      <c r="U37" s="24"/>
      <c r="AC37" s="24"/>
      <c r="AG37" s="24"/>
      <c r="AI37" s="93"/>
      <c r="AK37" s="24"/>
    </row>
    <row r="38" spans="1:38" ht="28.5" customHeight="1" x14ac:dyDescent="0.25">
      <c r="A38" s="420" t="s">
        <v>215</v>
      </c>
      <c r="B38" s="420"/>
      <c r="C38" s="420"/>
      <c r="D38" s="420"/>
      <c r="E38" s="420"/>
      <c r="F38" s="420"/>
      <c r="G38" s="420"/>
      <c r="H38" s="420"/>
      <c r="I38" s="420"/>
      <c r="J38" s="420"/>
      <c r="K38" s="420"/>
      <c r="L38" s="420"/>
      <c r="M38" s="420"/>
      <c r="N38" s="420"/>
      <c r="O38" s="420"/>
      <c r="P38" s="420"/>
      <c r="Q38" s="420"/>
      <c r="R38" s="420"/>
      <c r="U38" s="24"/>
      <c r="AC38" s="24"/>
      <c r="AG38" s="24"/>
      <c r="AI38" s="93"/>
      <c r="AK38" s="24"/>
    </row>
    <row r="39" spans="1:38" x14ac:dyDescent="0.25">
      <c r="A39" s="97" t="s">
        <v>210</v>
      </c>
      <c r="E39" s="24"/>
      <c r="I39" s="24"/>
      <c r="M39" s="24"/>
      <c r="Q39" s="24"/>
      <c r="U39" s="24"/>
      <c r="AC39" s="24"/>
      <c r="AG39" s="24"/>
      <c r="AI39" s="93"/>
      <c r="AK39" s="24"/>
    </row>
    <row r="40" spans="1:38" ht="30" customHeight="1" x14ac:dyDescent="0.25">
      <c r="A40" s="420" t="s">
        <v>211</v>
      </c>
      <c r="B40" s="420"/>
      <c r="C40" s="420"/>
      <c r="D40" s="420"/>
      <c r="E40" s="420"/>
      <c r="F40" s="420"/>
      <c r="G40" s="420"/>
      <c r="H40" s="420"/>
      <c r="I40" s="420"/>
      <c r="J40" s="420"/>
      <c r="K40" s="420"/>
      <c r="L40" s="420"/>
      <c r="M40" s="420"/>
      <c r="N40" s="420"/>
      <c r="O40" s="420"/>
      <c r="P40" s="420"/>
      <c r="Q40" s="420"/>
      <c r="R40" s="420"/>
      <c r="U40" s="24"/>
      <c r="AC40" s="24"/>
      <c r="AG40" s="24"/>
      <c r="AI40" s="93"/>
      <c r="AK40" s="24"/>
    </row>
    <row r="41" spans="1:38" ht="29.25" customHeight="1" x14ac:dyDescent="0.25">
      <c r="A41" s="440" t="s">
        <v>212</v>
      </c>
      <c r="B41" s="440"/>
      <c r="C41" s="440"/>
      <c r="D41" s="440"/>
      <c r="E41" s="440"/>
      <c r="F41" s="440"/>
      <c r="G41" s="440"/>
      <c r="H41" s="440"/>
      <c r="I41" s="440"/>
      <c r="J41" s="440"/>
      <c r="K41" s="440"/>
      <c r="L41" s="440"/>
      <c r="M41" s="440"/>
      <c r="N41" s="440"/>
      <c r="O41" s="440"/>
      <c r="P41" s="440"/>
      <c r="Q41" s="440"/>
      <c r="R41" s="440"/>
      <c r="U41" s="24"/>
      <c r="AC41" s="24"/>
      <c r="AG41" s="24"/>
      <c r="AI41" s="93"/>
      <c r="AK41" s="24"/>
    </row>
    <row r="42" spans="1:38" x14ac:dyDescent="0.25">
      <c r="A42" s="97" t="s">
        <v>203</v>
      </c>
      <c r="E42" s="24"/>
      <c r="I42" s="24"/>
      <c r="M42" s="24"/>
      <c r="Q42" s="24"/>
      <c r="U42" s="24"/>
      <c r="AC42" s="24"/>
      <c r="AG42" s="24"/>
      <c r="AI42" s="93"/>
      <c r="AK42" s="24"/>
    </row>
    <row r="43" spans="1:38" ht="32.25" customHeight="1" x14ac:dyDescent="0.25">
      <c r="A43" s="420" t="s">
        <v>204</v>
      </c>
      <c r="B43" s="420"/>
      <c r="C43" s="420"/>
      <c r="D43" s="420"/>
      <c r="E43" s="420"/>
      <c r="F43" s="420"/>
      <c r="G43" s="420"/>
      <c r="H43" s="420"/>
      <c r="I43" s="420"/>
      <c r="J43" s="420"/>
      <c r="K43" s="420"/>
      <c r="L43" s="420"/>
      <c r="M43" s="420"/>
      <c r="N43" s="420"/>
      <c r="O43" s="420"/>
      <c r="P43" s="420"/>
      <c r="Q43" s="420"/>
      <c r="R43" s="420"/>
      <c r="U43" s="24"/>
      <c r="AC43" s="24"/>
      <c r="AG43" s="24"/>
      <c r="AI43" s="93"/>
      <c r="AK43" s="24"/>
    </row>
    <row r="44" spans="1:38" ht="30.75" customHeight="1" x14ac:dyDescent="0.25">
      <c r="A44" s="420" t="s">
        <v>205</v>
      </c>
      <c r="B44" s="420"/>
      <c r="C44" s="420"/>
      <c r="D44" s="420"/>
      <c r="E44" s="420"/>
      <c r="F44" s="420"/>
      <c r="G44" s="420"/>
      <c r="H44" s="420"/>
      <c r="I44" s="420"/>
      <c r="J44" s="420"/>
      <c r="K44" s="420"/>
      <c r="L44" s="420"/>
      <c r="M44" s="420"/>
      <c r="N44" s="420"/>
      <c r="O44" s="420"/>
      <c r="P44" s="420"/>
      <c r="Q44" s="420"/>
      <c r="R44" s="420"/>
    </row>
    <row r="45" spans="1:38" x14ac:dyDescent="0.25">
      <c r="A45" s="76" t="s">
        <v>194</v>
      </c>
    </row>
    <row r="46" spans="1:38" ht="30.75" customHeight="1" x14ac:dyDescent="0.25">
      <c r="A46" s="420" t="s">
        <v>180</v>
      </c>
      <c r="B46" s="420"/>
      <c r="C46" s="420"/>
      <c r="D46" s="420"/>
      <c r="E46" s="420"/>
      <c r="F46" s="420"/>
      <c r="G46" s="420"/>
      <c r="H46" s="420"/>
      <c r="I46" s="420"/>
      <c r="J46" s="420"/>
      <c r="K46" s="420"/>
      <c r="L46" s="420"/>
      <c r="M46" s="420"/>
      <c r="N46" s="420"/>
      <c r="O46" s="420"/>
      <c r="P46" s="420"/>
      <c r="Q46" s="420"/>
      <c r="R46" s="420"/>
    </row>
    <row r="47" spans="1:38" ht="15.75" customHeight="1" x14ac:dyDescent="0.25">
      <c r="A47" s="420" t="s">
        <v>181</v>
      </c>
      <c r="B47" s="420"/>
      <c r="C47" s="420"/>
      <c r="D47" s="420"/>
      <c r="E47" s="420"/>
      <c r="F47" s="420"/>
      <c r="G47" s="420"/>
      <c r="H47" s="420"/>
      <c r="I47" s="420"/>
      <c r="J47" s="420"/>
      <c r="K47" s="420"/>
      <c r="L47" s="420"/>
      <c r="M47" s="420"/>
      <c r="N47" s="420"/>
      <c r="O47" s="420"/>
      <c r="P47" s="420"/>
      <c r="Q47" s="420"/>
      <c r="R47" s="420"/>
    </row>
    <row r="48" spans="1:38" x14ac:dyDescent="0.25">
      <c r="A48" s="76" t="s">
        <v>430</v>
      </c>
    </row>
    <row r="49" spans="1:18" ht="29.25" customHeight="1" x14ac:dyDescent="0.25">
      <c r="A49" s="420" t="s">
        <v>431</v>
      </c>
      <c r="B49" s="420"/>
      <c r="C49" s="420"/>
      <c r="D49" s="420"/>
      <c r="E49" s="420"/>
      <c r="F49" s="420"/>
      <c r="G49" s="420"/>
      <c r="H49" s="420"/>
      <c r="I49" s="420"/>
      <c r="J49" s="420"/>
      <c r="K49" s="420"/>
      <c r="L49" s="420"/>
      <c r="M49" s="420"/>
      <c r="N49" s="420"/>
      <c r="O49" s="420"/>
      <c r="P49" s="420"/>
      <c r="Q49" s="420"/>
      <c r="R49" s="420"/>
    </row>
    <row r="50" spans="1:18" ht="30.75" customHeight="1" x14ac:dyDescent="0.25">
      <c r="A50" s="420" t="s">
        <v>432</v>
      </c>
      <c r="B50" s="420"/>
      <c r="C50" s="420"/>
      <c r="D50" s="420"/>
      <c r="E50" s="420"/>
      <c r="F50" s="420"/>
      <c r="G50" s="420"/>
      <c r="H50" s="420"/>
      <c r="I50" s="420"/>
      <c r="J50" s="420"/>
      <c r="K50" s="420"/>
      <c r="L50" s="420"/>
      <c r="M50" s="420"/>
      <c r="N50" s="420"/>
      <c r="O50" s="420"/>
      <c r="P50" s="420"/>
      <c r="Q50" s="420"/>
      <c r="R50" s="420"/>
    </row>
    <row r="51" spans="1:18" x14ac:dyDescent="0.25">
      <c r="A51" s="76" t="s">
        <v>582</v>
      </c>
    </row>
    <row r="52" spans="1:18" ht="30.75" customHeight="1" x14ac:dyDescent="0.25">
      <c r="A52" s="420" t="s">
        <v>584</v>
      </c>
      <c r="B52" s="420"/>
      <c r="C52" s="420"/>
      <c r="D52" s="420"/>
      <c r="E52" s="420"/>
      <c r="F52" s="420"/>
      <c r="G52" s="420"/>
      <c r="H52" s="420"/>
      <c r="I52" s="420"/>
      <c r="J52" s="420"/>
      <c r="K52" s="420"/>
      <c r="L52" s="420"/>
      <c r="M52" s="420"/>
      <c r="N52" s="420"/>
      <c r="O52" s="420"/>
      <c r="P52" s="420"/>
      <c r="Q52" s="420"/>
      <c r="R52" s="420"/>
    </row>
    <row r="53" spans="1:18" ht="31.5" customHeight="1" x14ac:dyDescent="0.25">
      <c r="A53" s="420" t="s">
        <v>583</v>
      </c>
      <c r="B53" s="420"/>
      <c r="C53" s="420"/>
      <c r="D53" s="420"/>
      <c r="E53" s="420"/>
      <c r="F53" s="420"/>
      <c r="G53" s="420"/>
      <c r="H53" s="420"/>
      <c r="I53" s="420"/>
      <c r="J53" s="420"/>
      <c r="K53" s="420"/>
      <c r="L53" s="420"/>
      <c r="M53" s="420"/>
      <c r="N53" s="420"/>
      <c r="O53" s="420"/>
      <c r="P53" s="420"/>
      <c r="Q53" s="420"/>
      <c r="R53" s="420"/>
    </row>
  </sheetData>
  <mergeCells count="23">
    <mergeCell ref="A37:R37"/>
    <mergeCell ref="A38:R38"/>
    <mergeCell ref="A40:R40"/>
    <mergeCell ref="A41:R41"/>
    <mergeCell ref="AL3:AL4"/>
    <mergeCell ref="A3:A4"/>
    <mergeCell ref="B3:E3"/>
    <mergeCell ref="F3:I3"/>
    <mergeCell ref="J3:M3"/>
    <mergeCell ref="N3:Q3"/>
    <mergeCell ref="R3:U3"/>
    <mergeCell ref="V3:Y3"/>
    <mergeCell ref="Z3:AC3"/>
    <mergeCell ref="AH3:AK3"/>
    <mergeCell ref="AD3:AG3"/>
    <mergeCell ref="A53:R53"/>
    <mergeCell ref="A52:R52"/>
    <mergeCell ref="A49:R49"/>
    <mergeCell ref="A50:R50"/>
    <mergeCell ref="A43:R43"/>
    <mergeCell ref="A44:R44"/>
    <mergeCell ref="A46:R46"/>
    <mergeCell ref="A47:R47"/>
  </mergeCells>
  <conditionalFormatting sqref="AH16:AI16">
    <cfRule type="iconSet" priority="7">
      <iconSet iconSet="3Arrows">
        <cfvo type="percent" val="0"/>
        <cfvo type="percent" val="33"/>
        <cfvo type="percent" val="67"/>
      </iconSet>
    </cfRule>
    <cfRule type="top10" dxfId="31" priority="8" percent="1" rank="10"/>
  </conditionalFormatting>
  <conditionalFormatting sqref="AJ16">
    <cfRule type="iconSet" priority="5">
      <iconSet iconSet="3Arrows">
        <cfvo type="percent" val="0"/>
        <cfvo type="percent" val="33"/>
        <cfvo type="percent" val="67"/>
      </iconSet>
    </cfRule>
    <cfRule type="top10" dxfId="30" priority="6" percent="1" rank="10"/>
  </conditionalFormatting>
  <conditionalFormatting sqref="AK16">
    <cfRule type="iconSet" priority="3">
      <iconSet iconSet="3Arrows">
        <cfvo type="percent" val="0"/>
        <cfvo type="percent" val="33"/>
        <cfvo type="percent" val="67"/>
      </iconSet>
    </cfRule>
    <cfRule type="top10" dxfId="29" priority="4" percent="1" rank="10"/>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7"/>
  <sheetViews>
    <sheetView topLeftCell="A91" workbookViewId="0">
      <selection activeCell="C3" sqref="C3"/>
    </sheetView>
  </sheetViews>
  <sheetFormatPr defaultRowHeight="15" x14ac:dyDescent="0.25"/>
  <cols>
    <col min="1" max="1" width="12" customWidth="1"/>
    <col min="2" max="2" width="13.140625" bestFit="1" customWidth="1"/>
    <col min="3" max="3" width="11" customWidth="1"/>
    <col min="4" max="5" width="13.140625" bestFit="1" customWidth="1"/>
    <col min="6" max="6" width="13" customWidth="1"/>
    <col min="7" max="7" width="10" customWidth="1"/>
    <col min="8" max="8" width="13.140625" bestFit="1" customWidth="1"/>
    <col min="9" max="9" width="12.140625" customWidth="1"/>
    <col min="10" max="10" width="10" bestFit="1" customWidth="1"/>
  </cols>
  <sheetData>
    <row r="1" spans="1:4" x14ac:dyDescent="0.25">
      <c r="A1" s="307" t="s">
        <v>480</v>
      </c>
    </row>
    <row r="3" spans="1:4" ht="45" x14ac:dyDescent="0.25">
      <c r="A3" s="63"/>
      <c r="B3" s="210" t="s">
        <v>348</v>
      </c>
      <c r="C3" s="210" t="s">
        <v>349</v>
      </c>
      <c r="D3" s="209" t="s">
        <v>19</v>
      </c>
    </row>
    <row r="4" spans="1:4" x14ac:dyDescent="0.25">
      <c r="A4" s="2" t="s">
        <v>177</v>
      </c>
      <c r="B4" s="60">
        <v>3</v>
      </c>
      <c r="C4" s="60">
        <v>5</v>
      </c>
      <c r="D4" s="60">
        <f>SUM(B4:C4)</f>
        <v>8</v>
      </c>
    </row>
    <row r="5" spans="1:4" x14ac:dyDescent="0.25">
      <c r="A5" s="2" t="s">
        <v>178</v>
      </c>
      <c r="B5" s="60">
        <v>39</v>
      </c>
      <c r="C5" s="60">
        <v>35</v>
      </c>
      <c r="D5" s="60">
        <f>SUM(B5:C5)</f>
        <v>74</v>
      </c>
    </row>
    <row r="6" spans="1:4" x14ac:dyDescent="0.25">
      <c r="A6" s="2" t="s">
        <v>179</v>
      </c>
      <c r="B6" s="60">
        <v>30</v>
      </c>
      <c r="C6" s="60">
        <v>158</v>
      </c>
      <c r="D6" s="60">
        <f>SUM(B6:C6)</f>
        <v>188</v>
      </c>
    </row>
    <row r="7" spans="1:4" x14ac:dyDescent="0.25">
      <c r="A7" s="207" t="s">
        <v>19</v>
      </c>
      <c r="B7" s="63">
        <f>SUM(B4:B6)</f>
        <v>72</v>
      </c>
      <c r="C7" s="63">
        <f>SUM(C4:C6)</f>
        <v>198</v>
      </c>
      <c r="D7" s="63">
        <f>SUM(D4:D6)</f>
        <v>270</v>
      </c>
    </row>
    <row r="11" spans="1:4" x14ac:dyDescent="0.25">
      <c r="A11" s="307" t="s">
        <v>481</v>
      </c>
    </row>
    <row r="13" spans="1:4" ht="45" x14ac:dyDescent="0.25">
      <c r="A13" s="63"/>
      <c r="B13" s="210" t="s">
        <v>43</v>
      </c>
      <c r="C13" s="210" t="s">
        <v>350</v>
      </c>
    </row>
    <row r="14" spans="1:4" x14ac:dyDescent="0.25">
      <c r="A14" s="2" t="s">
        <v>177</v>
      </c>
      <c r="B14" s="141">
        <v>55466584</v>
      </c>
      <c r="C14" s="8">
        <f>B14/B17</f>
        <v>0.20036521021062584</v>
      </c>
    </row>
    <row r="15" spans="1:4" x14ac:dyDescent="0.25">
      <c r="A15" s="2" t="s">
        <v>178</v>
      </c>
      <c r="B15" s="141">
        <v>164080757</v>
      </c>
      <c r="C15" s="8">
        <f>B15/B17</f>
        <v>0.59271858832740842</v>
      </c>
    </row>
    <row r="16" spans="1:4" ht="15.75" thickBot="1" x14ac:dyDescent="0.3">
      <c r="A16" s="13" t="s">
        <v>179</v>
      </c>
      <c r="B16" s="357">
        <v>57280078</v>
      </c>
      <c r="C16" s="218">
        <f>B16/B17</f>
        <v>0.20691620146196574</v>
      </c>
    </row>
    <row r="17" spans="1:5" ht="15.75" thickTop="1" x14ac:dyDescent="0.25">
      <c r="A17" s="219" t="s">
        <v>19</v>
      </c>
      <c r="B17" s="220">
        <f>SUM(B14:B16)</f>
        <v>276827419</v>
      </c>
      <c r="C17" s="221">
        <f>SUM(C14:C16)</f>
        <v>1</v>
      </c>
    </row>
    <row r="25" spans="1:5" x14ac:dyDescent="0.25">
      <c r="A25" s="307" t="s">
        <v>482</v>
      </c>
    </row>
    <row r="27" spans="1:5" x14ac:dyDescent="0.25">
      <c r="A27" s="63"/>
      <c r="B27" s="209" t="s">
        <v>177</v>
      </c>
      <c r="C27" s="209" t="s">
        <v>178</v>
      </c>
      <c r="D27" s="209" t="s">
        <v>179</v>
      </c>
      <c r="E27" s="210" t="s">
        <v>11</v>
      </c>
    </row>
    <row r="28" spans="1:5" x14ac:dyDescent="0.25">
      <c r="A28" s="2" t="s">
        <v>22</v>
      </c>
      <c r="B28" s="18">
        <v>210.7</v>
      </c>
      <c r="C28" s="18">
        <v>125</v>
      </c>
      <c r="D28" s="18">
        <v>277.39999999999998</v>
      </c>
      <c r="E28" s="18">
        <v>913.1</v>
      </c>
    </row>
    <row r="29" spans="1:5" x14ac:dyDescent="0.25">
      <c r="A29" s="2" t="s">
        <v>23</v>
      </c>
      <c r="B29" s="18">
        <v>83.5</v>
      </c>
      <c r="C29" s="18">
        <v>256.60000000000002</v>
      </c>
      <c r="D29" s="18">
        <v>62.4</v>
      </c>
      <c r="E29" s="18">
        <v>402.5</v>
      </c>
    </row>
    <row r="30" spans="1:5" x14ac:dyDescent="0.25">
      <c r="A30" s="2" t="s">
        <v>24</v>
      </c>
      <c r="B30" s="18">
        <v>316.60000000000002</v>
      </c>
      <c r="C30" s="18">
        <v>634.79999999999995</v>
      </c>
      <c r="D30" s="18">
        <v>39.799999999999997</v>
      </c>
      <c r="E30" s="18">
        <v>991.2</v>
      </c>
    </row>
    <row r="31" spans="1:5" x14ac:dyDescent="0.25">
      <c r="A31" s="2" t="s">
        <v>25</v>
      </c>
      <c r="B31" s="18">
        <v>130.80000000000001</v>
      </c>
      <c r="C31" s="18">
        <v>517.6</v>
      </c>
      <c r="D31" s="18">
        <v>89</v>
      </c>
      <c r="E31" s="18">
        <v>737.3</v>
      </c>
    </row>
    <row r="32" spans="1:5" x14ac:dyDescent="0.25">
      <c r="A32" s="2" t="s">
        <v>26</v>
      </c>
      <c r="B32" s="18">
        <v>207.6</v>
      </c>
      <c r="C32" s="18">
        <v>358.3</v>
      </c>
      <c r="D32" s="18">
        <v>118.3</v>
      </c>
      <c r="E32" s="18">
        <v>684.1</v>
      </c>
    </row>
    <row r="33" spans="1:5" x14ac:dyDescent="0.25">
      <c r="A33" s="2" t="s">
        <v>27</v>
      </c>
      <c r="B33" s="18">
        <v>28.9</v>
      </c>
      <c r="C33" s="18">
        <v>298</v>
      </c>
      <c r="D33" s="18">
        <v>40.6</v>
      </c>
      <c r="E33" s="18">
        <v>367.5</v>
      </c>
    </row>
    <row r="34" spans="1:5" x14ac:dyDescent="0.25">
      <c r="A34" s="111" t="s">
        <v>429</v>
      </c>
      <c r="B34" s="32">
        <v>124.2</v>
      </c>
      <c r="C34" s="32">
        <v>358.6</v>
      </c>
      <c r="D34" s="32">
        <v>165.8</v>
      </c>
      <c r="E34" s="32">
        <v>648.6</v>
      </c>
    </row>
    <row r="35" spans="1:5" x14ac:dyDescent="0.25">
      <c r="A35" s="111" t="s">
        <v>470</v>
      </c>
      <c r="B35" s="32">
        <v>55.466583999999997</v>
      </c>
      <c r="C35" s="32">
        <v>164.08075700000001</v>
      </c>
      <c r="D35" s="32">
        <v>57.280078000000003</v>
      </c>
      <c r="E35" s="32">
        <v>276.82741900000002</v>
      </c>
    </row>
    <row r="58" spans="1:12" ht="30.75" customHeight="1" x14ac:dyDescent="0.25">
      <c r="A58" s="456" t="s">
        <v>483</v>
      </c>
      <c r="B58" s="456"/>
      <c r="C58" s="456"/>
      <c r="D58" s="456"/>
      <c r="E58" s="456"/>
      <c r="F58" s="456"/>
      <c r="G58" s="456"/>
      <c r="H58" s="456"/>
      <c r="I58" s="456"/>
      <c r="J58" s="456"/>
      <c r="K58" s="456"/>
      <c r="L58" s="121"/>
    </row>
    <row r="59" spans="1:12" ht="9" customHeight="1" x14ac:dyDescent="0.25"/>
    <row r="60" spans="1:12" ht="30" customHeight="1" x14ac:dyDescent="0.25">
      <c r="A60" s="444" t="s">
        <v>208</v>
      </c>
      <c r="B60" s="443" t="s">
        <v>39</v>
      </c>
      <c r="C60" s="443"/>
      <c r="D60" s="443"/>
      <c r="E60" s="443" t="s">
        <v>6</v>
      </c>
      <c r="F60" s="443"/>
      <c r="G60" s="443"/>
      <c r="H60" s="443" t="s">
        <v>351</v>
      </c>
      <c r="I60" s="443"/>
      <c r="J60" s="443"/>
    </row>
    <row r="61" spans="1:12" ht="90" x14ac:dyDescent="0.25">
      <c r="A61" s="444"/>
      <c r="B61" s="210" t="s">
        <v>433</v>
      </c>
      <c r="C61" s="210" t="s">
        <v>600</v>
      </c>
      <c r="D61" s="210" t="s">
        <v>601</v>
      </c>
      <c r="E61" s="210" t="s">
        <v>602</v>
      </c>
      <c r="F61" s="210" t="s">
        <v>600</v>
      </c>
      <c r="G61" s="210" t="s">
        <v>603</v>
      </c>
      <c r="H61" s="210" t="s">
        <v>433</v>
      </c>
      <c r="I61" s="210" t="s">
        <v>600</v>
      </c>
      <c r="J61" s="210" t="s">
        <v>601</v>
      </c>
    </row>
    <row r="62" spans="1:12" x14ac:dyDescent="0.25">
      <c r="A62" s="222" t="s">
        <v>177</v>
      </c>
      <c r="B62" s="358">
        <v>3</v>
      </c>
      <c r="C62" s="358">
        <v>4</v>
      </c>
      <c r="D62" s="224">
        <f>(C62-B62)/B62</f>
        <v>0.33333333333333331</v>
      </c>
      <c r="E62" s="359">
        <v>124242227</v>
      </c>
      <c r="F62" s="359">
        <v>55466584</v>
      </c>
      <c r="G62" s="8">
        <f>(F62-E62)/E62</f>
        <v>-0.55356093222636782</v>
      </c>
      <c r="H62" s="142">
        <f t="shared" ref="H62:I65" si="0">E62/B62</f>
        <v>41414075.666666664</v>
      </c>
      <c r="I62" s="142">
        <f t="shared" si="0"/>
        <v>13866646</v>
      </c>
      <c r="J62" s="8">
        <f>(I62-H62)/H62</f>
        <v>-0.66517069916977578</v>
      </c>
    </row>
    <row r="63" spans="1:12" x14ac:dyDescent="0.25">
      <c r="A63" s="222" t="s">
        <v>178</v>
      </c>
      <c r="B63" s="358">
        <v>68</v>
      </c>
      <c r="C63" s="358">
        <v>51</v>
      </c>
      <c r="D63" s="224">
        <f>(C63-B63)/B63</f>
        <v>-0.25</v>
      </c>
      <c r="E63" s="360">
        <v>358602200</v>
      </c>
      <c r="F63" s="359">
        <v>164080757</v>
      </c>
      <c r="G63" s="8">
        <f>(F63-E63)/E63</f>
        <v>-0.5424435293481189</v>
      </c>
      <c r="H63" s="142">
        <f t="shared" si="0"/>
        <v>5273561.7647058824</v>
      </c>
      <c r="I63" s="142">
        <f t="shared" si="0"/>
        <v>3217269.745098039</v>
      </c>
      <c r="J63" s="8">
        <f>(I63-H63)/H63</f>
        <v>-0.38992470579749189</v>
      </c>
    </row>
    <row r="64" spans="1:12" x14ac:dyDescent="0.25">
      <c r="A64" s="212" t="s">
        <v>179</v>
      </c>
      <c r="B64" s="320">
        <v>27</v>
      </c>
      <c r="C64" s="320">
        <v>35</v>
      </c>
      <c r="D64" s="223">
        <f>(C64-B64)/B64</f>
        <v>0.29629629629629628</v>
      </c>
      <c r="E64" s="359">
        <v>165781801</v>
      </c>
      <c r="F64" s="359">
        <v>57280078</v>
      </c>
      <c r="G64" s="8">
        <f>(F64-E64)/E64</f>
        <v>-0.65448512650673885</v>
      </c>
      <c r="H64" s="142">
        <f t="shared" si="0"/>
        <v>6140066.7037037034</v>
      </c>
      <c r="I64" s="142">
        <f t="shared" si="0"/>
        <v>1636573.6571428571</v>
      </c>
      <c r="J64" s="8">
        <f>(I64-H64)/H64</f>
        <v>-0.7334599547337699</v>
      </c>
    </row>
    <row r="65" spans="1:10" x14ac:dyDescent="0.25">
      <c r="A65" s="211" t="s">
        <v>19</v>
      </c>
      <c r="B65" s="135">
        <f>SUM(B62:B64)</f>
        <v>98</v>
      </c>
      <c r="C65" s="135">
        <f>SUM(C62:C64)</f>
        <v>90</v>
      </c>
      <c r="D65" s="225">
        <f>(C65-B65)/B65</f>
        <v>-8.1632653061224483E-2</v>
      </c>
      <c r="E65" s="133">
        <f>SUM(E62:E64)</f>
        <v>648626228</v>
      </c>
      <c r="F65" s="133">
        <f>SUM(F62:F64)</f>
        <v>276827419</v>
      </c>
      <c r="G65" s="134">
        <f>(F65-E65)/E65</f>
        <v>-0.57320964362853366</v>
      </c>
      <c r="H65" s="133">
        <f t="shared" si="0"/>
        <v>6618634.9795918372</v>
      </c>
      <c r="I65" s="133">
        <f t="shared" si="0"/>
        <v>3075860.2111111111</v>
      </c>
      <c r="J65" s="134">
        <f>(I65-H65)/H65</f>
        <v>-0.5352727230621811</v>
      </c>
    </row>
    <row r="66" spans="1:10" ht="11.25" customHeight="1" x14ac:dyDescent="0.25"/>
    <row r="67" spans="1:10" ht="15" customHeight="1" x14ac:dyDescent="0.25">
      <c r="A67" s="456" t="s">
        <v>410</v>
      </c>
      <c r="B67" s="456"/>
      <c r="C67" s="456"/>
      <c r="D67" s="456"/>
      <c r="E67" s="456"/>
    </row>
    <row r="68" spans="1:10" x14ac:dyDescent="0.25">
      <c r="A68" s="456"/>
      <c r="B68" s="456"/>
      <c r="C68" s="456"/>
      <c r="D68" s="456"/>
      <c r="E68" s="456"/>
    </row>
    <row r="69" spans="1:10" x14ac:dyDescent="0.25">
      <c r="A69" s="121"/>
      <c r="B69" s="121"/>
      <c r="C69" s="121"/>
      <c r="D69" s="121"/>
      <c r="E69" s="121"/>
    </row>
    <row r="70" spans="1:10" ht="30" x14ac:dyDescent="0.25">
      <c r="A70" s="215" t="s">
        <v>208</v>
      </c>
      <c r="B70" s="214" t="s">
        <v>24</v>
      </c>
      <c r="C70" s="214" t="s">
        <v>25</v>
      </c>
      <c r="D70" s="214" t="s">
        <v>26</v>
      </c>
      <c r="E70" s="214" t="s">
        <v>27</v>
      </c>
      <c r="F70" s="275" t="s">
        <v>429</v>
      </c>
      <c r="G70" s="313" t="s">
        <v>470</v>
      </c>
    </row>
    <row r="71" spans="1:10" x14ac:dyDescent="0.25">
      <c r="A71" s="2" t="s">
        <v>177</v>
      </c>
      <c r="B71" s="8">
        <v>1.2749999999999999</v>
      </c>
      <c r="C71" s="8">
        <v>-0.48299999999999998</v>
      </c>
      <c r="D71" s="8">
        <v>-0.20699999999999999</v>
      </c>
      <c r="E71" s="8">
        <v>-0.25700000000000001</v>
      </c>
      <c r="F71" s="8">
        <v>3.298</v>
      </c>
      <c r="G71" s="289">
        <f>J62</f>
        <v>-0.66517069916977578</v>
      </c>
    </row>
    <row r="72" spans="1:10" x14ac:dyDescent="0.25">
      <c r="A72" s="2" t="s">
        <v>178</v>
      </c>
      <c r="B72" s="8">
        <v>1.3680000000000001</v>
      </c>
      <c r="C72" s="8">
        <v>-0.23899999999999999</v>
      </c>
      <c r="D72" s="8">
        <v>-0.248</v>
      </c>
      <c r="E72" s="8">
        <v>-0.10299999999999999</v>
      </c>
      <c r="F72" s="8">
        <v>0.13300000000000001</v>
      </c>
      <c r="G72" s="8">
        <f>J63</f>
        <v>-0.38992470579749189</v>
      </c>
    </row>
    <row r="73" spans="1:10" x14ac:dyDescent="0.25">
      <c r="A73" s="2" t="s">
        <v>179</v>
      </c>
      <c r="B73" s="8">
        <v>-0.33200000000000002</v>
      </c>
      <c r="C73" s="8">
        <v>0.67500000000000004</v>
      </c>
      <c r="D73" s="8">
        <v>9.5000000000000001E-2</v>
      </c>
      <c r="E73" s="8">
        <v>-0.55100000000000005</v>
      </c>
      <c r="F73" s="8">
        <v>2.9260000000000002</v>
      </c>
      <c r="G73" s="8">
        <f>J64</f>
        <v>-0.7334599547337699</v>
      </c>
    </row>
    <row r="74" spans="1:10" ht="60" x14ac:dyDescent="0.25">
      <c r="A74" s="226" t="s">
        <v>355</v>
      </c>
      <c r="B74" s="134">
        <v>1.3160000000000001</v>
      </c>
      <c r="C74" s="134">
        <v>-0.32300000000000001</v>
      </c>
      <c r="D74" s="134">
        <v>-0.13500000000000001</v>
      </c>
      <c r="E74" s="134">
        <v>-0.313</v>
      </c>
      <c r="F74" s="206">
        <v>0.67500000000000004</v>
      </c>
      <c r="G74" s="206">
        <f>J65</f>
        <v>-0.5352727230621811</v>
      </c>
    </row>
    <row r="76" spans="1:10" x14ac:dyDescent="0.25">
      <c r="A76" t="s">
        <v>352</v>
      </c>
    </row>
    <row r="77" spans="1:10" x14ac:dyDescent="0.25">
      <c r="A77" t="s">
        <v>353</v>
      </c>
    </row>
    <row r="81" spans="1:12" x14ac:dyDescent="0.25">
      <c r="A81" s="17"/>
      <c r="B81" s="17"/>
      <c r="C81" s="17"/>
      <c r="D81" s="17"/>
      <c r="E81" s="17"/>
      <c r="F81" s="17"/>
      <c r="G81" s="17"/>
      <c r="H81" s="17"/>
      <c r="I81" s="17"/>
      <c r="J81" s="17"/>
      <c r="K81" s="17"/>
      <c r="L81" s="17"/>
    </row>
    <row r="82" spans="1:12" ht="29.25" customHeight="1" x14ac:dyDescent="0.25">
      <c r="A82" s="457" t="s">
        <v>484</v>
      </c>
      <c r="B82" s="457"/>
      <c r="C82" s="457"/>
      <c r="D82" s="457"/>
      <c r="E82" s="457"/>
      <c r="F82" s="457"/>
      <c r="G82" s="457"/>
      <c r="H82" s="457"/>
      <c r="I82" s="457"/>
      <c r="J82" s="457"/>
      <c r="K82" s="457"/>
      <c r="L82" s="121"/>
    </row>
    <row r="83" spans="1:12" x14ac:dyDescent="0.25">
      <c r="A83" s="17"/>
      <c r="B83" s="17"/>
      <c r="C83" s="17"/>
      <c r="D83" s="17"/>
      <c r="E83" s="17"/>
      <c r="F83" s="17"/>
      <c r="G83" s="17"/>
      <c r="H83" s="17"/>
      <c r="I83" s="17"/>
      <c r="J83" s="17"/>
      <c r="K83" s="17"/>
      <c r="L83" s="17"/>
    </row>
    <row r="84" spans="1:12" x14ac:dyDescent="0.25">
      <c r="A84" s="444" t="s">
        <v>208</v>
      </c>
      <c r="B84" s="443" t="s">
        <v>40</v>
      </c>
      <c r="C84" s="443"/>
      <c r="D84" s="443"/>
      <c r="E84" s="443" t="s">
        <v>6</v>
      </c>
      <c r="F84" s="443"/>
      <c r="G84" s="443"/>
      <c r="H84" s="443" t="s">
        <v>152</v>
      </c>
      <c r="I84" s="443"/>
      <c r="J84" s="443"/>
      <c r="K84" s="17"/>
      <c r="L84" s="17"/>
    </row>
    <row r="85" spans="1:12" ht="75" x14ac:dyDescent="0.25">
      <c r="A85" s="444"/>
      <c r="B85" s="215" t="s">
        <v>433</v>
      </c>
      <c r="C85" s="215" t="s">
        <v>600</v>
      </c>
      <c r="D85" s="215" t="s">
        <v>601</v>
      </c>
      <c r="E85" s="215" t="s">
        <v>602</v>
      </c>
      <c r="F85" s="215" t="s">
        <v>600</v>
      </c>
      <c r="G85" s="215" t="s">
        <v>601</v>
      </c>
      <c r="H85" s="215" t="s">
        <v>433</v>
      </c>
      <c r="I85" s="215" t="s">
        <v>681</v>
      </c>
      <c r="J85" s="215" t="s">
        <v>601</v>
      </c>
      <c r="K85" s="17"/>
      <c r="L85" s="17"/>
    </row>
    <row r="86" spans="1:12" x14ac:dyDescent="0.25">
      <c r="A86" s="222" t="s">
        <v>177</v>
      </c>
      <c r="B86" s="358">
        <v>4</v>
      </c>
      <c r="C86" s="358">
        <v>8</v>
      </c>
      <c r="D86" s="224">
        <f>(C86-B86)/B86</f>
        <v>1</v>
      </c>
      <c r="E86" s="142">
        <v>124242227</v>
      </c>
      <c r="F86" s="359">
        <v>55466584</v>
      </c>
      <c r="G86" s="8">
        <f>(F86-E86)/E86</f>
        <v>-0.55356093222636782</v>
      </c>
      <c r="H86" s="142">
        <f t="shared" ref="H86:I89" si="1">E86/B86</f>
        <v>31060556.75</v>
      </c>
      <c r="I86" s="142">
        <f t="shared" si="1"/>
        <v>6933323</v>
      </c>
      <c r="J86" s="8">
        <f>(I86-H86)/H86</f>
        <v>-0.77678046611318385</v>
      </c>
      <c r="K86" s="17"/>
      <c r="L86" s="17"/>
    </row>
    <row r="87" spans="1:12" x14ac:dyDescent="0.25">
      <c r="A87" s="222" t="s">
        <v>178</v>
      </c>
      <c r="B87" s="358">
        <v>109</v>
      </c>
      <c r="C87" s="358">
        <v>74</v>
      </c>
      <c r="D87" s="224">
        <f t="shared" ref="D87:D88" si="2">(C87-B87)/B87</f>
        <v>-0.32110091743119268</v>
      </c>
      <c r="E87" s="362">
        <v>358602200</v>
      </c>
      <c r="F87" s="359">
        <v>164080757</v>
      </c>
      <c r="G87" s="8">
        <f t="shared" ref="G87:G88" si="3">(F87-E87)/E87</f>
        <v>-0.5424435293481189</v>
      </c>
      <c r="H87" s="142">
        <f t="shared" si="1"/>
        <v>3289928.4403669727</v>
      </c>
      <c r="I87" s="142">
        <f t="shared" si="1"/>
        <v>2217307.5270270272</v>
      </c>
      <c r="J87" s="8">
        <f t="shared" ref="J87:J88" si="4">(I87-H87)/H87</f>
        <v>-0.32603168512087782</v>
      </c>
      <c r="K87" s="17"/>
      <c r="L87" s="17"/>
    </row>
    <row r="88" spans="1:12" x14ac:dyDescent="0.25">
      <c r="A88" s="217" t="s">
        <v>179</v>
      </c>
      <c r="B88" s="320">
        <v>33</v>
      </c>
      <c r="C88" s="320">
        <v>188</v>
      </c>
      <c r="D88" s="224">
        <f t="shared" si="2"/>
        <v>4.6969696969696972</v>
      </c>
      <c r="E88" s="142">
        <v>165781801</v>
      </c>
      <c r="F88" s="359">
        <v>57280078</v>
      </c>
      <c r="G88" s="8">
        <f t="shared" si="3"/>
        <v>-0.65448512650673885</v>
      </c>
      <c r="H88" s="142">
        <f t="shared" si="1"/>
        <v>5023690.9393939395</v>
      </c>
      <c r="I88" s="142">
        <f t="shared" si="1"/>
        <v>304681.26595744683</v>
      </c>
      <c r="J88" s="8">
        <f t="shared" si="4"/>
        <v>-0.93935111263150206</v>
      </c>
      <c r="K88" s="17"/>
      <c r="L88" s="17"/>
    </row>
    <row r="89" spans="1:12" x14ac:dyDescent="0.25">
      <c r="A89" s="216" t="s">
        <v>19</v>
      </c>
      <c r="B89" s="135">
        <f>SUM(B86:B88)</f>
        <v>146</v>
      </c>
      <c r="C89" s="135">
        <f>SUM(C86:C88)</f>
        <v>270</v>
      </c>
      <c r="D89" s="225">
        <f>(C89-B89)/B89</f>
        <v>0.84931506849315064</v>
      </c>
      <c r="E89" s="133">
        <f>SUM(E86:E88)</f>
        <v>648626228</v>
      </c>
      <c r="F89" s="133">
        <f>SUM(F86:F88)</f>
        <v>276827419</v>
      </c>
      <c r="G89" s="134">
        <f>(F89-E89)/E89</f>
        <v>-0.57320964362853366</v>
      </c>
      <c r="H89" s="133">
        <f t="shared" si="1"/>
        <v>4442645.3972602738</v>
      </c>
      <c r="I89" s="133">
        <f t="shared" si="1"/>
        <v>1025286.737037037</v>
      </c>
      <c r="J89" s="134">
        <f>(I89-H89)/H89</f>
        <v>-0.76921706655468858</v>
      </c>
      <c r="K89" s="17"/>
      <c r="L89" s="17"/>
    </row>
    <row r="90" spans="1:12" x14ac:dyDescent="0.25">
      <c r="A90" s="17"/>
      <c r="B90" s="17"/>
      <c r="C90" s="17"/>
      <c r="D90" s="17"/>
      <c r="E90" s="17"/>
      <c r="F90" s="17"/>
      <c r="G90" s="17"/>
      <c r="H90" s="17"/>
      <c r="I90" s="17"/>
      <c r="J90" s="17"/>
      <c r="K90" s="17"/>
      <c r="L90" s="17"/>
    </row>
    <row r="91" spans="1:12" x14ac:dyDescent="0.25">
      <c r="A91" s="456" t="s">
        <v>354</v>
      </c>
      <c r="B91" s="456"/>
      <c r="C91" s="456"/>
      <c r="D91" s="456"/>
      <c r="E91" s="456"/>
      <c r="F91" s="17"/>
      <c r="G91" s="17"/>
      <c r="H91" s="17"/>
      <c r="I91" s="17"/>
      <c r="J91" s="17"/>
      <c r="K91" s="17"/>
      <c r="L91" s="17"/>
    </row>
    <row r="92" spans="1:12" x14ac:dyDescent="0.25">
      <c r="A92" s="456"/>
      <c r="B92" s="456"/>
      <c r="C92" s="456"/>
      <c r="D92" s="456"/>
      <c r="E92" s="456"/>
      <c r="F92" s="17"/>
      <c r="G92" s="17"/>
      <c r="H92" s="17"/>
      <c r="I92" s="17"/>
      <c r="J92" s="17"/>
      <c r="K92" s="17"/>
      <c r="L92" s="17"/>
    </row>
    <row r="93" spans="1:12" x14ac:dyDescent="0.25">
      <c r="A93" s="17"/>
      <c r="B93" s="17"/>
      <c r="C93" s="17"/>
      <c r="D93" s="17"/>
      <c r="E93" s="17"/>
      <c r="F93" s="17"/>
      <c r="G93" s="17"/>
      <c r="H93" s="17"/>
      <c r="I93" s="17"/>
      <c r="J93" s="17"/>
      <c r="K93" s="17"/>
      <c r="L93" s="17"/>
    </row>
    <row r="94" spans="1:12" ht="30" x14ac:dyDescent="0.25">
      <c r="A94" s="215" t="s">
        <v>208</v>
      </c>
      <c r="B94" s="214" t="s">
        <v>24</v>
      </c>
      <c r="C94" s="214" t="s">
        <v>25</v>
      </c>
      <c r="D94" s="214" t="s">
        <v>26</v>
      </c>
      <c r="E94" s="214" t="s">
        <v>27</v>
      </c>
      <c r="F94" s="276" t="s">
        <v>429</v>
      </c>
      <c r="G94" s="315" t="s">
        <v>470</v>
      </c>
      <c r="H94" s="17"/>
      <c r="I94" s="17"/>
      <c r="J94" s="17"/>
      <c r="K94" s="17"/>
      <c r="L94" s="17"/>
    </row>
    <row r="95" spans="1:12" x14ac:dyDescent="0.25">
      <c r="A95" s="2" t="s">
        <v>177</v>
      </c>
      <c r="B95" s="8">
        <v>0.89600000000000002</v>
      </c>
      <c r="C95" s="8">
        <v>-0.44900000000000001</v>
      </c>
      <c r="D95" s="8">
        <v>-0.379</v>
      </c>
      <c r="E95" s="8">
        <v>6.8000000000000005E-2</v>
      </c>
      <c r="F95" s="289">
        <v>2.2240000000000002</v>
      </c>
      <c r="G95" s="278">
        <f>J86</f>
        <v>-0.77678046611318385</v>
      </c>
      <c r="H95" s="17"/>
      <c r="I95" s="17"/>
      <c r="J95" s="17"/>
      <c r="K95" s="17"/>
      <c r="L95" s="17"/>
    </row>
    <row r="96" spans="1:12" x14ac:dyDescent="0.25">
      <c r="A96" s="2" t="s">
        <v>178</v>
      </c>
      <c r="B96" s="8">
        <v>1.1839999999999999</v>
      </c>
      <c r="C96" s="8">
        <v>-0.49099999999999999</v>
      </c>
      <c r="D96" s="8">
        <v>0.45</v>
      </c>
      <c r="E96" s="8">
        <v>-0.53200000000000003</v>
      </c>
      <c r="F96" s="289">
        <v>0.66700000000000004</v>
      </c>
      <c r="G96" s="278">
        <f>J87</f>
        <v>-0.32603168512087782</v>
      </c>
      <c r="H96" s="17"/>
      <c r="I96" s="17"/>
      <c r="J96" s="17"/>
      <c r="K96" s="17"/>
      <c r="L96" s="17"/>
    </row>
    <row r="97" spans="1:12" x14ac:dyDescent="0.25">
      <c r="A97" s="2" t="s">
        <v>179</v>
      </c>
      <c r="B97" s="8">
        <v>-0.23400000000000001</v>
      </c>
      <c r="C97" s="8">
        <v>-0.71099999999999997</v>
      </c>
      <c r="D97" s="8">
        <v>4.8330000000000002</v>
      </c>
      <c r="E97" s="8">
        <v>-0.873</v>
      </c>
      <c r="F97" s="289">
        <v>13.702999999999999</v>
      </c>
      <c r="G97" s="278">
        <f>J88</f>
        <v>-0.93935111263150206</v>
      </c>
      <c r="H97" s="17"/>
      <c r="I97" s="17"/>
      <c r="J97" s="17"/>
      <c r="K97" s="17"/>
      <c r="L97" s="17"/>
    </row>
    <row r="98" spans="1:12" ht="60" x14ac:dyDescent="0.25">
      <c r="A98" s="226" t="s">
        <v>355</v>
      </c>
      <c r="B98" s="134">
        <v>1.2290000000000001</v>
      </c>
      <c r="C98" s="134">
        <v>-0.71</v>
      </c>
      <c r="D98" s="134">
        <v>1.32</v>
      </c>
      <c r="E98" s="134">
        <v>-0.70099999999999996</v>
      </c>
      <c r="F98" s="361">
        <v>2.2999999999999998</v>
      </c>
      <c r="G98" s="363">
        <f>J89</f>
        <v>-0.76921706655468858</v>
      </c>
      <c r="H98" s="17"/>
      <c r="I98" s="17"/>
      <c r="J98" s="17"/>
      <c r="K98" s="17"/>
      <c r="L98" s="17"/>
    </row>
    <row r="99" spans="1:12" x14ac:dyDescent="0.25">
      <c r="A99" s="17"/>
      <c r="B99" s="17"/>
      <c r="C99" s="17"/>
      <c r="D99" s="17"/>
      <c r="E99" s="17"/>
      <c r="F99" s="17"/>
      <c r="G99" s="17"/>
      <c r="H99" s="17"/>
      <c r="I99" s="17"/>
      <c r="J99" s="17"/>
      <c r="K99" s="17"/>
      <c r="L99" s="17"/>
    </row>
    <row r="100" spans="1:12" x14ac:dyDescent="0.25">
      <c r="A100" s="17"/>
      <c r="B100" s="17"/>
      <c r="C100" s="17"/>
      <c r="D100" s="17"/>
      <c r="E100" s="17"/>
      <c r="F100" s="17"/>
      <c r="G100" s="17"/>
      <c r="H100" s="17"/>
      <c r="I100" s="17"/>
      <c r="J100" s="17"/>
      <c r="K100" s="17"/>
      <c r="L100" s="17"/>
    </row>
    <row r="101" spans="1:12" x14ac:dyDescent="0.25">
      <c r="A101" s="17"/>
      <c r="B101" s="17"/>
      <c r="C101" s="17"/>
      <c r="D101" s="17"/>
      <c r="E101" s="17"/>
      <c r="F101" s="17"/>
      <c r="G101" s="17"/>
      <c r="H101" s="17"/>
      <c r="I101" s="17"/>
      <c r="J101" s="17"/>
      <c r="K101" s="17"/>
      <c r="L101" s="17"/>
    </row>
    <row r="102" spans="1:12" x14ac:dyDescent="0.25">
      <c r="A102" s="17"/>
      <c r="B102" s="17"/>
      <c r="C102" s="17"/>
      <c r="D102" s="17"/>
      <c r="E102" s="17"/>
      <c r="F102" s="17"/>
      <c r="G102" s="17"/>
      <c r="H102" s="17"/>
      <c r="I102" s="17"/>
      <c r="J102" s="17"/>
      <c r="K102" s="17"/>
      <c r="L102" s="17"/>
    </row>
    <row r="103" spans="1:12" x14ac:dyDescent="0.25">
      <c r="A103" s="17"/>
      <c r="B103" s="17"/>
      <c r="C103" s="17"/>
      <c r="D103" s="17"/>
      <c r="E103" s="17"/>
      <c r="F103" s="17"/>
      <c r="G103" s="17"/>
      <c r="H103" s="17"/>
      <c r="I103" s="17"/>
      <c r="J103" s="17"/>
      <c r="K103" s="17"/>
      <c r="L103" s="17"/>
    </row>
    <row r="104" spans="1:12" x14ac:dyDescent="0.25">
      <c r="A104" s="378"/>
      <c r="B104" s="378"/>
      <c r="C104" s="378"/>
      <c r="D104" s="378"/>
      <c r="E104" s="378"/>
      <c r="F104" s="378"/>
      <c r="G104" s="378"/>
      <c r="H104" s="378"/>
      <c r="I104" s="378"/>
      <c r="J104" s="378"/>
      <c r="K104" s="378"/>
      <c r="L104" s="378"/>
    </row>
    <row r="105" spans="1:12" x14ac:dyDescent="0.25">
      <c r="A105" s="307" t="s">
        <v>485</v>
      </c>
    </row>
    <row r="107" spans="1:12" x14ac:dyDescent="0.25">
      <c r="A107" s="444" t="s">
        <v>28</v>
      </c>
      <c r="B107" s="443" t="s">
        <v>39</v>
      </c>
      <c r="C107" s="443"/>
      <c r="D107" s="443"/>
      <c r="E107" s="443"/>
      <c r="F107" s="443"/>
      <c r="G107" s="443"/>
      <c r="H107" s="443"/>
    </row>
    <row r="108" spans="1:12" ht="30" x14ac:dyDescent="0.25">
      <c r="A108" s="444"/>
      <c r="B108" s="214" t="s">
        <v>177</v>
      </c>
      <c r="C108" s="215" t="s">
        <v>10</v>
      </c>
      <c r="D108" s="214" t="s">
        <v>178</v>
      </c>
      <c r="E108" s="215" t="s">
        <v>10</v>
      </c>
      <c r="F108" s="214" t="s">
        <v>179</v>
      </c>
      <c r="G108" s="215" t="s">
        <v>10</v>
      </c>
      <c r="H108" s="214" t="s">
        <v>19</v>
      </c>
    </row>
    <row r="109" spans="1:12" ht="45" x14ac:dyDescent="0.25">
      <c r="A109" s="10" t="s">
        <v>357</v>
      </c>
      <c r="B109" s="60">
        <v>1</v>
      </c>
      <c r="C109" s="62">
        <f t="shared" ref="C109:C117" si="5">B109/H109</f>
        <v>0.2</v>
      </c>
      <c r="D109" s="60">
        <v>1</v>
      </c>
      <c r="E109" s="62">
        <f t="shared" ref="E109:E117" si="6">D109/H109</f>
        <v>0.2</v>
      </c>
      <c r="F109" s="60">
        <v>3</v>
      </c>
      <c r="G109" s="62">
        <f t="shared" ref="G109:G117" si="7">F109/H109</f>
        <v>0.6</v>
      </c>
      <c r="H109" s="60">
        <v>5</v>
      </c>
    </row>
    <row r="110" spans="1:12" ht="30" x14ac:dyDescent="0.25">
      <c r="A110" s="10" t="s">
        <v>358</v>
      </c>
      <c r="B110" s="60">
        <v>0</v>
      </c>
      <c r="C110" s="62">
        <v>0</v>
      </c>
      <c r="D110" s="60">
        <v>26</v>
      </c>
      <c r="E110" s="62">
        <f t="shared" si="6"/>
        <v>0.57777777777777772</v>
      </c>
      <c r="F110" s="60">
        <v>19</v>
      </c>
      <c r="G110" s="62">
        <f t="shared" si="7"/>
        <v>0.42222222222222222</v>
      </c>
      <c r="H110" s="60">
        <f t="shared" ref="H110:H116" si="8">B110+D110+F110</f>
        <v>45</v>
      </c>
    </row>
    <row r="111" spans="1:12" ht="30" x14ac:dyDescent="0.25">
      <c r="A111" s="10" t="s">
        <v>359</v>
      </c>
      <c r="B111" s="60">
        <v>1</v>
      </c>
      <c r="C111" s="62">
        <f t="shared" si="5"/>
        <v>0.1</v>
      </c>
      <c r="D111" s="60">
        <v>6</v>
      </c>
      <c r="E111" s="62">
        <f t="shared" si="6"/>
        <v>0.6</v>
      </c>
      <c r="F111" s="60">
        <v>3</v>
      </c>
      <c r="G111" s="62">
        <f t="shared" si="7"/>
        <v>0.3</v>
      </c>
      <c r="H111" s="60">
        <f t="shared" si="8"/>
        <v>10</v>
      </c>
    </row>
    <row r="112" spans="1:12" ht="30" x14ac:dyDescent="0.25">
      <c r="A112" s="10" t="s">
        <v>677</v>
      </c>
      <c r="B112" s="60">
        <v>0</v>
      </c>
      <c r="C112" s="62">
        <f t="shared" si="5"/>
        <v>0</v>
      </c>
      <c r="D112" s="60">
        <v>9</v>
      </c>
      <c r="E112" s="62">
        <f t="shared" si="6"/>
        <v>0.81818181818181823</v>
      </c>
      <c r="F112" s="60">
        <v>2</v>
      </c>
      <c r="G112" s="62">
        <f t="shared" si="7"/>
        <v>0.18181818181818182</v>
      </c>
      <c r="H112" s="60">
        <f t="shared" si="8"/>
        <v>11</v>
      </c>
    </row>
    <row r="113" spans="1:8" ht="30" x14ac:dyDescent="0.25">
      <c r="A113" s="10" t="s">
        <v>15</v>
      </c>
      <c r="B113" s="60">
        <v>1</v>
      </c>
      <c r="C113" s="62">
        <f t="shared" si="5"/>
        <v>0.1111111111111111</v>
      </c>
      <c r="D113" s="60">
        <v>6</v>
      </c>
      <c r="E113" s="62">
        <f t="shared" si="6"/>
        <v>0.66666666666666663</v>
      </c>
      <c r="F113" s="60">
        <v>2</v>
      </c>
      <c r="G113" s="62">
        <f t="shared" si="7"/>
        <v>0.22222222222222221</v>
      </c>
      <c r="H113" s="60">
        <f t="shared" si="8"/>
        <v>9</v>
      </c>
    </row>
    <row r="114" spans="1:8" ht="30" x14ac:dyDescent="0.25">
      <c r="A114" s="10" t="s">
        <v>16</v>
      </c>
      <c r="B114" s="60">
        <v>0</v>
      </c>
      <c r="C114" s="62">
        <f t="shared" si="5"/>
        <v>0</v>
      </c>
      <c r="D114" s="60">
        <v>2</v>
      </c>
      <c r="E114" s="62">
        <f t="shared" si="6"/>
        <v>0.66666666666666663</v>
      </c>
      <c r="F114" s="60">
        <v>1</v>
      </c>
      <c r="G114" s="62">
        <f t="shared" si="7"/>
        <v>0.33333333333333331</v>
      </c>
      <c r="H114" s="60">
        <f t="shared" si="8"/>
        <v>3</v>
      </c>
    </row>
    <row r="115" spans="1:8" x14ac:dyDescent="0.25">
      <c r="A115" s="10" t="s">
        <v>17</v>
      </c>
      <c r="B115" s="60">
        <v>1</v>
      </c>
      <c r="C115" s="62">
        <f t="shared" si="5"/>
        <v>0.2</v>
      </c>
      <c r="D115" s="60">
        <v>0</v>
      </c>
      <c r="E115" s="62">
        <f t="shared" si="6"/>
        <v>0</v>
      </c>
      <c r="F115" s="60">
        <v>4</v>
      </c>
      <c r="G115" s="62">
        <f t="shared" si="7"/>
        <v>0.8</v>
      </c>
      <c r="H115" s="60">
        <f t="shared" si="8"/>
        <v>5</v>
      </c>
    </row>
    <row r="116" spans="1:8" x14ac:dyDescent="0.25">
      <c r="A116" s="10" t="s">
        <v>18</v>
      </c>
      <c r="B116" s="60">
        <v>0</v>
      </c>
      <c r="C116" s="62">
        <f t="shared" si="5"/>
        <v>0</v>
      </c>
      <c r="D116" s="60">
        <v>1</v>
      </c>
      <c r="E116" s="62">
        <f t="shared" si="6"/>
        <v>0.5</v>
      </c>
      <c r="F116" s="60">
        <v>1</v>
      </c>
      <c r="G116" s="62">
        <f t="shared" si="7"/>
        <v>0.5</v>
      </c>
      <c r="H116" s="60">
        <f t="shared" si="8"/>
        <v>2</v>
      </c>
    </row>
    <row r="117" spans="1:8" x14ac:dyDescent="0.25">
      <c r="A117" s="132" t="s">
        <v>19</v>
      </c>
      <c r="B117" s="132">
        <f>SUM(B109:B116)</f>
        <v>4</v>
      </c>
      <c r="C117" s="134">
        <f t="shared" si="5"/>
        <v>4.4444444444444446E-2</v>
      </c>
      <c r="D117" s="132">
        <f>SUM(D109:D116)</f>
        <v>51</v>
      </c>
      <c r="E117" s="134">
        <f t="shared" si="6"/>
        <v>0.56666666666666665</v>
      </c>
      <c r="F117" s="132">
        <f>SUM(F109:F116)</f>
        <v>35</v>
      </c>
      <c r="G117" s="134">
        <f t="shared" si="7"/>
        <v>0.3888888888888889</v>
      </c>
      <c r="H117" s="132">
        <f>SUM(H109:H116)</f>
        <v>90</v>
      </c>
    </row>
    <row r="119" spans="1:8" x14ac:dyDescent="0.25">
      <c r="A119" s="457" t="s">
        <v>486</v>
      </c>
      <c r="B119" s="457"/>
      <c r="C119" s="457"/>
      <c r="D119" s="457"/>
      <c r="E119" s="457"/>
      <c r="F119" s="457"/>
      <c r="G119" s="457"/>
      <c r="H119" s="457"/>
    </row>
    <row r="121" spans="1:8" x14ac:dyDescent="0.25">
      <c r="A121" s="444" t="s">
        <v>28</v>
      </c>
      <c r="B121" s="443" t="s">
        <v>356</v>
      </c>
      <c r="C121" s="443"/>
      <c r="D121" s="443"/>
      <c r="E121" s="443"/>
      <c r="F121" s="443"/>
      <c r="G121" s="443"/>
      <c r="H121" s="443"/>
    </row>
    <row r="122" spans="1:8" ht="30" x14ac:dyDescent="0.25">
      <c r="A122" s="444"/>
      <c r="B122" s="214" t="s">
        <v>177</v>
      </c>
      <c r="C122" s="215" t="s">
        <v>10</v>
      </c>
      <c r="D122" s="214" t="s">
        <v>178</v>
      </c>
      <c r="E122" s="215" t="s">
        <v>10</v>
      </c>
      <c r="F122" s="214" t="s">
        <v>179</v>
      </c>
      <c r="G122" s="215" t="s">
        <v>10</v>
      </c>
      <c r="H122" s="214" t="s">
        <v>19</v>
      </c>
    </row>
    <row r="123" spans="1:8" ht="45" x14ac:dyDescent="0.25">
      <c r="A123" s="10" t="s">
        <v>357</v>
      </c>
      <c r="B123" s="142">
        <v>10820124</v>
      </c>
      <c r="C123" s="62">
        <f>B123/B131</f>
        <v>0.1950746416977833</v>
      </c>
      <c r="D123" s="142">
        <v>2000000</v>
      </c>
      <c r="E123" s="62">
        <f>D123/D131</f>
        <v>1.0712640635278443E-2</v>
      </c>
      <c r="F123" s="142">
        <v>5399916</v>
      </c>
      <c r="G123" s="62">
        <f>F123/F131</f>
        <v>8.7663798906506968E-2</v>
      </c>
      <c r="H123" s="142">
        <f t="shared" ref="H123:H130" si="9">B123+D123+F123</f>
        <v>18220040</v>
      </c>
    </row>
    <row r="124" spans="1:8" ht="30" x14ac:dyDescent="0.25">
      <c r="A124" s="10" t="s">
        <v>358</v>
      </c>
      <c r="B124" s="142">
        <v>0</v>
      </c>
      <c r="C124" s="62">
        <f>B124/B131</f>
        <v>0</v>
      </c>
      <c r="D124" s="142">
        <v>79007540</v>
      </c>
      <c r="E124" s="62">
        <f>D124/D131</f>
        <v>0.42318969174869353</v>
      </c>
      <c r="F124" s="142">
        <v>39462617</v>
      </c>
      <c r="G124" s="62">
        <f>F124/F131</f>
        <v>0.64064754359373433</v>
      </c>
      <c r="H124" s="142">
        <f t="shared" si="9"/>
        <v>118470157</v>
      </c>
    </row>
    <row r="125" spans="1:8" ht="30" x14ac:dyDescent="0.25">
      <c r="A125" s="10" t="s">
        <v>359</v>
      </c>
      <c r="B125" s="142">
        <v>20999980</v>
      </c>
      <c r="C125" s="62">
        <f>B125/B131</f>
        <v>0.37860597292236348</v>
      </c>
      <c r="D125" s="142">
        <v>6204045</v>
      </c>
      <c r="E125" s="62">
        <f>D125/D131</f>
        <v>3.3230852285048025E-2</v>
      </c>
      <c r="F125" s="142">
        <v>3116378</v>
      </c>
      <c r="G125" s="62">
        <f>F125/F131</f>
        <v>5.0592182231846271E-2</v>
      </c>
      <c r="H125" s="142">
        <f t="shared" si="9"/>
        <v>30320403</v>
      </c>
    </row>
    <row r="126" spans="1:8" ht="30" x14ac:dyDescent="0.25">
      <c r="A126" s="10" t="s">
        <v>677</v>
      </c>
      <c r="B126" s="142">
        <v>0</v>
      </c>
      <c r="C126" s="62">
        <f>B126/B131</f>
        <v>0</v>
      </c>
      <c r="D126" s="142">
        <v>23598825</v>
      </c>
      <c r="E126" s="62">
        <f>D126/D131</f>
        <v>0.12640286581991242</v>
      </c>
      <c r="F126" s="142">
        <v>5254121</v>
      </c>
      <c r="G126" s="62">
        <f>F126/F131</f>
        <v>8.5296920688109831E-2</v>
      </c>
      <c r="H126" s="142">
        <f t="shared" si="9"/>
        <v>28852946</v>
      </c>
    </row>
    <row r="127" spans="1:8" ht="30" x14ac:dyDescent="0.25">
      <c r="A127" s="10" t="s">
        <v>15</v>
      </c>
      <c r="B127" s="142">
        <v>0</v>
      </c>
      <c r="C127" s="62">
        <f>B127/B131</f>
        <v>0</v>
      </c>
      <c r="D127" s="142">
        <v>23598825</v>
      </c>
      <c r="E127" s="62">
        <f>D127/D131</f>
        <v>0.12640286581991242</v>
      </c>
      <c r="F127" s="142">
        <v>2221346</v>
      </c>
      <c r="G127" s="62">
        <f>F127/F131</f>
        <v>3.6061973750290494E-2</v>
      </c>
      <c r="H127" s="142">
        <f t="shared" si="9"/>
        <v>25820171</v>
      </c>
    </row>
    <row r="128" spans="1:8" ht="30" x14ac:dyDescent="0.25">
      <c r="A128" s="10" t="s">
        <v>16</v>
      </c>
      <c r="B128" s="142">
        <v>5646480</v>
      </c>
      <c r="C128" s="62">
        <f>B128/B131</f>
        <v>0.10179967095143266</v>
      </c>
      <c r="D128" s="142">
        <v>47631117</v>
      </c>
      <c r="E128" s="62">
        <f>D128/D131</f>
        <v>0.25512751973895093</v>
      </c>
      <c r="F128" s="142">
        <v>1952010</v>
      </c>
      <c r="G128" s="62">
        <f>F128/F131</f>
        <v>3.1689495189090103E-2</v>
      </c>
      <c r="H128" s="142">
        <f t="shared" si="9"/>
        <v>55229607</v>
      </c>
    </row>
    <row r="129" spans="1:8" x14ac:dyDescent="0.25">
      <c r="A129" s="10" t="s">
        <v>17</v>
      </c>
      <c r="B129" s="142">
        <v>0</v>
      </c>
      <c r="C129" s="62">
        <f>B129/B131</f>
        <v>0</v>
      </c>
      <c r="D129" s="142">
        <v>4654980</v>
      </c>
      <c r="E129" s="62">
        <f>D129/D131</f>
        <v>2.4933563952204224E-2</v>
      </c>
      <c r="F129" s="142">
        <v>1294320</v>
      </c>
      <c r="G129" s="62">
        <f>F129/F131</f>
        <v>2.1012365414697212E-2</v>
      </c>
      <c r="H129" s="142">
        <f t="shared" si="9"/>
        <v>5949300</v>
      </c>
    </row>
    <row r="130" spans="1:8" x14ac:dyDescent="0.25">
      <c r="A130" s="10" t="s">
        <v>18</v>
      </c>
      <c r="B130" s="142">
        <v>18000000</v>
      </c>
      <c r="C130" s="62">
        <f>B130/B131</f>
        <v>0.32451971442842054</v>
      </c>
      <c r="D130" s="142">
        <v>0</v>
      </c>
      <c r="E130" s="62">
        <f>D130/D131</f>
        <v>0</v>
      </c>
      <c r="F130" s="142">
        <v>2897307</v>
      </c>
      <c r="G130" s="62">
        <f>F130/F131</f>
        <v>4.7035720225724803E-2</v>
      </c>
      <c r="H130" s="142">
        <f t="shared" si="9"/>
        <v>20897307</v>
      </c>
    </row>
    <row r="131" spans="1:8" x14ac:dyDescent="0.25">
      <c r="A131" s="132" t="s">
        <v>19</v>
      </c>
      <c r="B131" s="133">
        <f t="shared" ref="B131:H131" si="10">SUM(B123:B130)</f>
        <v>55466584</v>
      </c>
      <c r="C131" s="134">
        <f t="shared" si="10"/>
        <v>0.99999999999999989</v>
      </c>
      <c r="D131" s="133">
        <f t="shared" si="10"/>
        <v>186695332</v>
      </c>
      <c r="E131" s="134">
        <f t="shared" si="10"/>
        <v>1</v>
      </c>
      <c r="F131" s="133">
        <f t="shared" si="10"/>
        <v>61598015</v>
      </c>
      <c r="G131" s="134">
        <f t="shared" si="10"/>
        <v>1</v>
      </c>
      <c r="H131" s="133">
        <f t="shared" si="10"/>
        <v>303759931</v>
      </c>
    </row>
    <row r="134" spans="1:8" x14ac:dyDescent="0.25">
      <c r="A134" s="307" t="s">
        <v>360</v>
      </c>
    </row>
    <row r="135" spans="1:8" ht="9.75" customHeight="1" x14ac:dyDescent="0.25"/>
    <row r="136" spans="1:8" ht="90" x14ac:dyDescent="0.25">
      <c r="A136" s="229" t="s">
        <v>28</v>
      </c>
      <c r="B136" s="229" t="s">
        <v>604</v>
      </c>
      <c r="C136" s="229" t="s">
        <v>605</v>
      </c>
      <c r="D136" s="229" t="s">
        <v>606</v>
      </c>
    </row>
    <row r="137" spans="1:8" ht="41.25" customHeight="1" x14ac:dyDescent="0.25">
      <c r="A137" s="10" t="s">
        <v>357</v>
      </c>
      <c r="B137" s="142">
        <v>1574006</v>
      </c>
      <c r="C137" s="142">
        <f t="shared" ref="C137:C145" si="11">H123/H109</f>
        <v>3644008</v>
      </c>
      <c r="D137" s="8">
        <f t="shared" ref="D137:D145" si="12">(C137-B137)/B137</f>
        <v>1.3151169690585678</v>
      </c>
    </row>
    <row r="138" spans="1:8" ht="30" x14ac:dyDescent="0.25">
      <c r="A138" s="10" t="s">
        <v>358</v>
      </c>
      <c r="B138" s="142">
        <v>6289031</v>
      </c>
      <c r="C138" s="142">
        <f t="shared" si="11"/>
        <v>2632670.1555555556</v>
      </c>
      <c r="D138" s="8">
        <f t="shared" si="12"/>
        <v>-0.58138699657299264</v>
      </c>
    </row>
    <row r="139" spans="1:8" ht="30" x14ac:dyDescent="0.25">
      <c r="A139" s="10" t="s">
        <v>359</v>
      </c>
      <c r="B139" s="142">
        <v>891584</v>
      </c>
      <c r="C139" s="142">
        <f t="shared" si="11"/>
        <v>3032040.3</v>
      </c>
      <c r="D139" s="8">
        <f t="shared" si="12"/>
        <v>2.4007343110688391</v>
      </c>
    </row>
    <row r="140" spans="1:8" ht="30" x14ac:dyDescent="0.25">
      <c r="A140" s="10" t="s">
        <v>677</v>
      </c>
      <c r="B140" s="142">
        <v>2215100</v>
      </c>
      <c r="C140" s="142">
        <f t="shared" si="11"/>
        <v>2622995.0909090908</v>
      </c>
      <c r="D140" s="8">
        <f t="shared" si="12"/>
        <v>0.18414296912513695</v>
      </c>
    </row>
    <row r="141" spans="1:8" ht="30" x14ac:dyDescent="0.25">
      <c r="A141" s="10" t="s">
        <v>15</v>
      </c>
      <c r="B141" s="142">
        <v>15724666</v>
      </c>
      <c r="C141" s="142">
        <f t="shared" si="11"/>
        <v>2868907.888888889</v>
      </c>
      <c r="D141" s="8">
        <f t="shared" si="12"/>
        <v>-0.81755365176666472</v>
      </c>
    </row>
    <row r="142" spans="1:8" ht="30" x14ac:dyDescent="0.25">
      <c r="A142" s="10" t="s">
        <v>16</v>
      </c>
      <c r="B142" s="142">
        <v>5000000</v>
      </c>
      <c r="C142" s="142">
        <f t="shared" si="11"/>
        <v>18409869</v>
      </c>
      <c r="D142" s="8">
        <f t="shared" si="12"/>
        <v>2.6819738000000002</v>
      </c>
    </row>
    <row r="143" spans="1:8" x14ac:dyDescent="0.25">
      <c r="A143" s="10" t="s">
        <v>17</v>
      </c>
      <c r="B143" s="142">
        <v>3925669</v>
      </c>
      <c r="C143" s="142">
        <f t="shared" si="11"/>
        <v>1189860</v>
      </c>
      <c r="D143" s="8">
        <f t="shared" si="12"/>
        <v>-0.69690261710806489</v>
      </c>
    </row>
    <row r="144" spans="1:8" x14ac:dyDescent="0.25">
      <c r="A144" s="10" t="s">
        <v>18</v>
      </c>
      <c r="B144" s="142">
        <v>2246751</v>
      </c>
      <c r="C144" s="142">
        <f t="shared" si="11"/>
        <v>10448653.5</v>
      </c>
      <c r="D144" s="8">
        <f t="shared" si="12"/>
        <v>3.6505614106770174</v>
      </c>
    </row>
    <row r="145" spans="1:8" x14ac:dyDescent="0.25">
      <c r="A145" s="132" t="s">
        <v>19</v>
      </c>
      <c r="B145" s="110">
        <v>6618635</v>
      </c>
      <c r="C145" s="110">
        <f t="shared" si="11"/>
        <v>3375110.3444444444</v>
      </c>
      <c r="D145" s="206">
        <f t="shared" si="12"/>
        <v>-0.49005945418587904</v>
      </c>
    </row>
    <row r="147" spans="1:8" x14ac:dyDescent="0.25">
      <c r="A147" s="455" t="s">
        <v>361</v>
      </c>
      <c r="B147" s="455"/>
      <c r="C147" s="455"/>
      <c r="D147" s="455"/>
      <c r="E147" s="455"/>
      <c r="F147" s="455"/>
      <c r="G147" s="455"/>
      <c r="H147" s="455"/>
    </row>
    <row r="148" spans="1:8" ht="14.25" customHeight="1" x14ac:dyDescent="0.25"/>
    <row r="149" spans="1:8" x14ac:dyDescent="0.25">
      <c r="A149" s="2"/>
      <c r="B149" s="2" t="s">
        <v>177</v>
      </c>
      <c r="C149" s="2" t="s">
        <v>304</v>
      </c>
      <c r="D149" s="2" t="s">
        <v>179</v>
      </c>
    </row>
    <row r="150" spans="1:8" ht="45" x14ac:dyDescent="0.25">
      <c r="A150" s="10" t="s">
        <v>357</v>
      </c>
      <c r="B150" s="62">
        <f t="shared" ref="B150:B157" si="13">B123/H123</f>
        <v>0.59385841084871382</v>
      </c>
      <c r="C150" s="62">
        <f t="shared" ref="C150:C157" si="14">D123/H123</f>
        <v>0.10976924309716114</v>
      </c>
      <c r="D150" s="62">
        <f t="shared" ref="D150:D157" si="15">F123/H123</f>
        <v>0.29637234605412499</v>
      </c>
    </row>
    <row r="151" spans="1:8" ht="30" x14ac:dyDescent="0.25">
      <c r="A151" s="10" t="s">
        <v>358</v>
      </c>
      <c r="B151" s="62">
        <f t="shared" si="13"/>
        <v>0</v>
      </c>
      <c r="C151" s="62">
        <f t="shared" si="14"/>
        <v>0.66689824678800758</v>
      </c>
      <c r="D151" s="62">
        <f t="shared" si="15"/>
        <v>0.33310175321199242</v>
      </c>
    </row>
    <row r="152" spans="1:8" ht="30" x14ac:dyDescent="0.25">
      <c r="A152" s="10" t="s">
        <v>359</v>
      </c>
      <c r="B152" s="62">
        <f t="shared" si="13"/>
        <v>0.69260227181017353</v>
      </c>
      <c r="C152" s="62">
        <f t="shared" si="14"/>
        <v>0.20461617874933918</v>
      </c>
      <c r="D152" s="62">
        <f t="shared" si="15"/>
        <v>0.10278154944048731</v>
      </c>
    </row>
    <row r="153" spans="1:8" ht="30" x14ac:dyDescent="0.25">
      <c r="A153" s="10" t="s">
        <v>677</v>
      </c>
      <c r="B153" s="62">
        <f t="shared" si="13"/>
        <v>0</v>
      </c>
      <c r="C153" s="62">
        <f t="shared" si="14"/>
        <v>0.81790001617165886</v>
      </c>
      <c r="D153" s="62">
        <f t="shared" si="15"/>
        <v>0.18209998382834114</v>
      </c>
    </row>
    <row r="154" spans="1:8" ht="30" x14ac:dyDescent="0.25">
      <c r="A154" s="10" t="s">
        <v>15</v>
      </c>
      <c r="B154" s="62">
        <f t="shared" si="13"/>
        <v>0</v>
      </c>
      <c r="C154" s="62">
        <f t="shared" si="14"/>
        <v>0.9139685790616956</v>
      </c>
      <c r="D154" s="62">
        <f t="shared" si="15"/>
        <v>8.6031420938304404E-2</v>
      </c>
    </row>
    <row r="155" spans="1:8" ht="30" x14ac:dyDescent="0.25">
      <c r="A155" s="10" t="s">
        <v>16</v>
      </c>
      <c r="B155" s="62">
        <f t="shared" si="13"/>
        <v>0.1022364689287034</v>
      </c>
      <c r="C155" s="62">
        <f t="shared" si="14"/>
        <v>0.8624199878880181</v>
      </c>
      <c r="D155" s="62">
        <f t="shared" si="15"/>
        <v>3.5343543183278488E-2</v>
      </c>
    </row>
    <row r="156" spans="1:8" x14ac:dyDescent="0.25">
      <c r="A156" s="10" t="s">
        <v>17</v>
      </c>
      <c r="B156" s="62">
        <f t="shared" si="13"/>
        <v>0</v>
      </c>
      <c r="C156" s="62">
        <f t="shared" si="14"/>
        <v>0.78244163178861381</v>
      </c>
      <c r="D156" s="62">
        <f t="shared" si="15"/>
        <v>0.21755836821138622</v>
      </c>
    </row>
    <row r="157" spans="1:8" x14ac:dyDescent="0.25">
      <c r="A157" s="10" t="s">
        <v>18</v>
      </c>
      <c r="B157" s="62">
        <f t="shared" si="13"/>
        <v>0.86135500617376204</v>
      </c>
      <c r="C157" s="62">
        <f t="shared" si="14"/>
        <v>0</v>
      </c>
      <c r="D157" s="62">
        <f t="shared" si="15"/>
        <v>0.13864499382623799</v>
      </c>
    </row>
  </sheetData>
  <mergeCells count="18">
    <mergeCell ref="B60:D60"/>
    <mergeCell ref="A60:A61"/>
    <mergeCell ref="E60:G60"/>
    <mergeCell ref="H60:J60"/>
    <mergeCell ref="A58:K58"/>
    <mergeCell ref="A107:A108"/>
    <mergeCell ref="A121:A122"/>
    <mergeCell ref="B121:H121"/>
    <mergeCell ref="A147:H147"/>
    <mergeCell ref="A67:E68"/>
    <mergeCell ref="A84:A85"/>
    <mergeCell ref="B84:D84"/>
    <mergeCell ref="E84:G84"/>
    <mergeCell ref="H84:J84"/>
    <mergeCell ref="A91:E92"/>
    <mergeCell ref="B107:H107"/>
    <mergeCell ref="A119:H119"/>
    <mergeCell ref="A82:K82"/>
  </mergeCells>
  <conditionalFormatting sqref="B86:B88">
    <cfRule type="iconSet" priority="70">
      <iconSet iconSet="3Arrows">
        <cfvo type="percent" val="0"/>
        <cfvo type="percent" val="33"/>
        <cfvo type="percent" val="67"/>
      </iconSet>
    </cfRule>
  </conditionalFormatting>
  <conditionalFormatting sqref="C86:C88">
    <cfRule type="iconSet" priority="69">
      <iconSet iconSet="3Arrows">
        <cfvo type="percent" val="0"/>
        <cfvo type="percent" val="33"/>
        <cfvo type="percent" val="67"/>
      </iconSet>
    </cfRule>
  </conditionalFormatting>
  <conditionalFormatting sqref="I86:I88">
    <cfRule type="iconSet" priority="68">
      <iconSet iconSet="3Arrows">
        <cfvo type="percent" val="0"/>
        <cfvo type="percent" val="33"/>
        <cfvo type="percent" val="67"/>
      </iconSet>
    </cfRule>
  </conditionalFormatting>
  <conditionalFormatting sqref="H86:H88">
    <cfRule type="iconSet" priority="67">
      <iconSet iconSet="3Arrows">
        <cfvo type="percent" val="0"/>
        <cfvo type="percent" val="33"/>
        <cfvo type="percent" val="67"/>
      </iconSet>
    </cfRule>
  </conditionalFormatting>
  <conditionalFormatting sqref="E86:E88">
    <cfRule type="iconSet" priority="66">
      <iconSet iconSet="3Arrows">
        <cfvo type="percent" val="0"/>
        <cfvo type="percent" val="33"/>
        <cfvo type="percent" val="67"/>
      </iconSet>
    </cfRule>
  </conditionalFormatting>
  <conditionalFormatting sqref="F86:F88">
    <cfRule type="iconSet" priority="65">
      <iconSet iconSet="3Arrows">
        <cfvo type="percent" val="0"/>
        <cfvo type="percent" val="33"/>
        <cfvo type="percent" val="67"/>
      </iconSet>
    </cfRule>
  </conditionalFormatting>
  <conditionalFormatting sqref="B71:B73">
    <cfRule type="iconSet" priority="18">
      <iconSet iconSet="3Arrows">
        <cfvo type="percent" val="0"/>
        <cfvo type="percent" val="33"/>
        <cfvo type="percent" val="67"/>
      </iconSet>
    </cfRule>
  </conditionalFormatting>
  <conditionalFormatting sqref="C71:C73">
    <cfRule type="iconSet" priority="63">
      <iconSet iconSet="3Arrows">
        <cfvo type="percent" val="0"/>
        <cfvo type="percent" val="33"/>
        <cfvo type="percent" val="67"/>
      </iconSet>
    </cfRule>
  </conditionalFormatting>
  <conditionalFormatting sqref="D71:D73">
    <cfRule type="iconSet" priority="62">
      <iconSet iconSet="3Arrows">
        <cfvo type="percent" val="0"/>
        <cfvo type="percent" val="33"/>
        <cfvo type="percent" val="67"/>
      </iconSet>
    </cfRule>
  </conditionalFormatting>
  <conditionalFormatting sqref="E71:E73">
    <cfRule type="iconSet" priority="61">
      <iconSet iconSet="3Arrows">
        <cfvo type="percent" val="0"/>
        <cfvo type="percent" val="33"/>
        <cfvo type="percent" val="67"/>
      </iconSet>
    </cfRule>
  </conditionalFormatting>
  <conditionalFormatting sqref="B62:B64">
    <cfRule type="iconSet" priority="27">
      <iconSet iconSet="3Arrows">
        <cfvo type="percent" val="0"/>
        <cfvo type="percent" val="33"/>
        <cfvo type="percent" val="67"/>
      </iconSet>
    </cfRule>
  </conditionalFormatting>
  <conditionalFormatting sqref="C62:C64">
    <cfRule type="iconSet" priority="26">
      <iconSet iconSet="3Arrows">
        <cfvo type="percent" val="0"/>
        <cfvo type="percent" val="33"/>
        <cfvo type="percent" val="67"/>
      </iconSet>
    </cfRule>
  </conditionalFormatting>
  <conditionalFormatting sqref="H62:H64">
    <cfRule type="iconSet" priority="58">
      <iconSet iconSet="3Arrows">
        <cfvo type="percent" val="0"/>
        <cfvo type="percent" val="33"/>
        <cfvo type="percent" val="67"/>
      </iconSet>
    </cfRule>
  </conditionalFormatting>
  <conditionalFormatting sqref="E62:E64">
    <cfRule type="iconSet" priority="56">
      <iconSet iconSet="3Arrows">
        <cfvo type="percent" val="0"/>
        <cfvo type="percent" val="33"/>
        <cfvo type="percent" val="67"/>
      </iconSet>
    </cfRule>
  </conditionalFormatting>
  <conditionalFormatting sqref="F62:F64">
    <cfRule type="iconSet" priority="55">
      <iconSet iconSet="3Arrows">
        <cfvo type="percent" val="0"/>
        <cfvo type="percent" val="33"/>
        <cfvo type="percent" val="67"/>
      </iconSet>
    </cfRule>
  </conditionalFormatting>
  <conditionalFormatting sqref="B28:B35">
    <cfRule type="iconSet" priority="31">
      <iconSet iconSet="3Arrows">
        <cfvo type="percent" val="0"/>
        <cfvo type="percent" val="33"/>
        <cfvo type="percent" val="67"/>
      </iconSet>
    </cfRule>
    <cfRule type="top10" dxfId="28" priority="35" percent="1" rank="10"/>
  </conditionalFormatting>
  <conditionalFormatting sqref="C28:C35">
    <cfRule type="iconSet" priority="30">
      <iconSet iconSet="3Arrows">
        <cfvo type="percent" val="0"/>
        <cfvo type="percent" val="33"/>
        <cfvo type="percent" val="67"/>
      </iconSet>
    </cfRule>
    <cfRule type="top10" dxfId="27" priority="34" percent="1" rank="10"/>
  </conditionalFormatting>
  <conditionalFormatting sqref="D28:D35">
    <cfRule type="iconSet" priority="29">
      <iconSet iconSet="3Arrows">
        <cfvo type="percent" val="0"/>
        <cfvo type="percent" val="33"/>
        <cfvo type="percent" val="67"/>
      </iconSet>
    </cfRule>
    <cfRule type="top10" dxfId="26" priority="33" percent="1" rank="10"/>
  </conditionalFormatting>
  <conditionalFormatting sqref="E28:E35">
    <cfRule type="iconSet" priority="28">
      <iconSet iconSet="3Arrows">
        <cfvo type="percent" val="0"/>
        <cfvo type="percent" val="33"/>
        <cfvo type="percent" val="67"/>
      </iconSet>
    </cfRule>
    <cfRule type="top10" dxfId="25" priority="32" percent="1" rank="10"/>
  </conditionalFormatting>
  <conditionalFormatting sqref="B95:B97">
    <cfRule type="iconSet" priority="46">
      <iconSet iconSet="3Arrows">
        <cfvo type="percent" val="0"/>
        <cfvo type="percent" val="33"/>
        <cfvo type="percent" val="67"/>
      </iconSet>
    </cfRule>
  </conditionalFormatting>
  <conditionalFormatting sqref="C95:C97">
    <cfRule type="iconSet" priority="45">
      <iconSet iconSet="3Arrows">
        <cfvo type="percent" val="0"/>
        <cfvo type="percent" val="33"/>
        <cfvo type="percent" val="67"/>
      </iconSet>
    </cfRule>
  </conditionalFormatting>
  <conditionalFormatting sqref="D95:D97">
    <cfRule type="iconSet" priority="44">
      <iconSet iconSet="3Arrows">
        <cfvo type="percent" val="0"/>
        <cfvo type="percent" val="33"/>
        <cfvo type="percent" val="67"/>
      </iconSet>
    </cfRule>
  </conditionalFormatting>
  <conditionalFormatting sqref="E95:E97">
    <cfRule type="iconSet" priority="43">
      <iconSet iconSet="3Arrows">
        <cfvo type="percent" val="0"/>
        <cfvo type="percent" val="33"/>
        <cfvo type="percent" val="67"/>
      </iconSet>
    </cfRule>
  </conditionalFormatting>
  <conditionalFormatting sqref="B123:B130">
    <cfRule type="iconSet" priority="42">
      <iconSet iconSet="3Arrows">
        <cfvo type="percent" val="0"/>
        <cfvo type="percent" val="33"/>
        <cfvo type="percent" val="67"/>
      </iconSet>
    </cfRule>
  </conditionalFormatting>
  <conditionalFormatting sqref="D109:D116">
    <cfRule type="iconSet" priority="41">
      <iconSet iconSet="3Arrows">
        <cfvo type="percent" val="0"/>
        <cfvo type="percent" val="33"/>
        <cfvo type="percent" val="67"/>
      </iconSet>
    </cfRule>
  </conditionalFormatting>
  <conditionalFormatting sqref="F109:F116">
    <cfRule type="iconSet" priority="40">
      <iconSet iconSet="3Arrows">
        <cfvo type="percent" val="0"/>
        <cfvo type="percent" val="33"/>
        <cfvo type="percent" val="67"/>
      </iconSet>
    </cfRule>
  </conditionalFormatting>
  <conditionalFormatting sqref="B109:B116">
    <cfRule type="iconSet" priority="39">
      <iconSet iconSet="3Arrows">
        <cfvo type="percent" val="0"/>
        <cfvo type="percent" val="33"/>
        <cfvo type="percent" val="67"/>
      </iconSet>
    </cfRule>
  </conditionalFormatting>
  <conditionalFormatting sqref="D123:D130">
    <cfRule type="iconSet" priority="5">
      <iconSet iconSet="3Arrows">
        <cfvo type="percent" val="0"/>
        <cfvo type="percent" val="33"/>
        <cfvo type="percent" val="67"/>
      </iconSet>
    </cfRule>
  </conditionalFormatting>
  <conditionalFormatting sqref="F123:F130">
    <cfRule type="iconSet" priority="4">
      <iconSet iconSet="3Arrows">
        <cfvo type="percent" val="0"/>
        <cfvo type="percent" val="33"/>
        <cfvo type="percent" val="67"/>
      </iconSet>
    </cfRule>
  </conditionalFormatting>
  <conditionalFormatting sqref="H123:H130">
    <cfRule type="iconSet" priority="36">
      <iconSet iconSet="3Arrows">
        <cfvo type="percent" val="0"/>
        <cfvo type="percent" val="33"/>
        <cfvo type="percent" val="67"/>
      </iconSet>
    </cfRule>
  </conditionalFormatting>
  <conditionalFormatting sqref="B62:C62">
    <cfRule type="iconSet" priority="22">
      <iconSet iconSet="3Arrows">
        <cfvo type="percent" val="0"/>
        <cfvo type="percent" val="33"/>
        <cfvo type="percent" val="67"/>
      </iconSet>
    </cfRule>
  </conditionalFormatting>
  <conditionalFormatting sqref="B63:C63">
    <cfRule type="iconSet" priority="24">
      <iconSet iconSet="3Arrows">
        <cfvo type="percent" val="0"/>
        <cfvo type="percent" val="33"/>
        <cfvo type="percent" val="67"/>
      </iconSet>
    </cfRule>
  </conditionalFormatting>
  <conditionalFormatting sqref="B64:C64">
    <cfRule type="iconSet" priority="23">
      <iconSet iconSet="3Arrows">
        <cfvo type="percent" val="0"/>
        <cfvo type="percent" val="33"/>
        <cfvo type="percent" val="67"/>
      </iconSet>
    </cfRule>
  </conditionalFormatting>
  <conditionalFormatting sqref="E62:F62">
    <cfRule type="iconSet" priority="21">
      <iconSet iconSet="3Arrows">
        <cfvo type="percent" val="0"/>
        <cfvo type="percent" val="33"/>
        <cfvo type="percent" val="67"/>
      </iconSet>
    </cfRule>
  </conditionalFormatting>
  <conditionalFormatting sqref="E63:F63">
    <cfRule type="iconSet" priority="20">
      <iconSet iconSet="3Arrows">
        <cfvo type="percent" val="0"/>
        <cfvo type="percent" val="33"/>
        <cfvo type="percent" val="67"/>
      </iconSet>
    </cfRule>
  </conditionalFormatting>
  <conditionalFormatting sqref="E64:F64">
    <cfRule type="iconSet" priority="19">
      <iconSet iconSet="3Arrows">
        <cfvo type="percent" val="0"/>
        <cfvo type="percent" val="33"/>
        <cfvo type="percent" val="67"/>
      </iconSet>
    </cfRule>
  </conditionalFormatting>
  <conditionalFormatting sqref="B71:F71">
    <cfRule type="iconSet" priority="17">
      <iconSet iconSet="3Arrows">
        <cfvo type="percent" val="0"/>
        <cfvo type="percent" val="33"/>
        <cfvo type="percent" val="67"/>
      </iconSet>
    </cfRule>
  </conditionalFormatting>
  <conditionalFormatting sqref="B72:F72">
    <cfRule type="iconSet" priority="16">
      <iconSet iconSet="3Arrows">
        <cfvo type="percent" val="0"/>
        <cfvo type="percent" val="33"/>
        <cfvo type="percent" val="67"/>
      </iconSet>
    </cfRule>
  </conditionalFormatting>
  <conditionalFormatting sqref="B73:F73">
    <cfRule type="iconSet" priority="15">
      <iconSet iconSet="3Arrows">
        <cfvo type="percent" val="0"/>
        <cfvo type="percent" val="33"/>
        <cfvo type="percent" val="67"/>
      </iconSet>
    </cfRule>
  </conditionalFormatting>
  <conditionalFormatting sqref="B86:C86">
    <cfRule type="iconSet" priority="14">
      <iconSet iconSet="3Arrows">
        <cfvo type="percent" val="0"/>
        <cfvo type="percent" val="33"/>
        <cfvo type="percent" val="67"/>
      </iconSet>
    </cfRule>
  </conditionalFormatting>
  <conditionalFormatting sqref="B87:C87">
    <cfRule type="iconSet" priority="13">
      <iconSet iconSet="3Arrows">
        <cfvo type="percent" val="0"/>
        <cfvo type="percent" val="33"/>
        <cfvo type="percent" val="67"/>
      </iconSet>
    </cfRule>
  </conditionalFormatting>
  <conditionalFormatting sqref="B88:C88">
    <cfRule type="iconSet" priority="12">
      <iconSet iconSet="3Arrows">
        <cfvo type="percent" val="0"/>
        <cfvo type="percent" val="33"/>
        <cfvo type="percent" val="67"/>
      </iconSet>
    </cfRule>
  </conditionalFormatting>
  <conditionalFormatting sqref="E86:F86">
    <cfRule type="iconSet" priority="11">
      <iconSet iconSet="3Arrows">
        <cfvo type="percent" val="0"/>
        <cfvo type="percent" val="33"/>
        <cfvo type="percent" val="67"/>
      </iconSet>
    </cfRule>
  </conditionalFormatting>
  <conditionalFormatting sqref="E87:F87">
    <cfRule type="iconSet" priority="10">
      <iconSet iconSet="3Arrows">
        <cfvo type="percent" val="0"/>
        <cfvo type="percent" val="33"/>
        <cfvo type="percent" val="67"/>
      </iconSet>
    </cfRule>
  </conditionalFormatting>
  <conditionalFormatting sqref="E88:F88">
    <cfRule type="iconSet" priority="9">
      <iconSet iconSet="3Arrows">
        <cfvo type="percent" val="0"/>
        <cfvo type="percent" val="33"/>
        <cfvo type="percent" val="67"/>
      </iconSet>
    </cfRule>
  </conditionalFormatting>
  <conditionalFormatting sqref="H86:I86">
    <cfRule type="iconSet" priority="8">
      <iconSet iconSet="3Arrows">
        <cfvo type="percent" val="0"/>
        <cfvo type="percent" val="33"/>
        <cfvo type="percent" val="67"/>
      </iconSet>
    </cfRule>
  </conditionalFormatting>
  <conditionalFormatting sqref="H87:I87">
    <cfRule type="iconSet" priority="7">
      <iconSet iconSet="3Arrows">
        <cfvo type="percent" val="0"/>
        <cfvo type="percent" val="33"/>
        <cfvo type="percent" val="67"/>
      </iconSet>
    </cfRule>
  </conditionalFormatting>
  <conditionalFormatting sqref="H88:I88">
    <cfRule type="iconSet" priority="6">
      <iconSet iconSet="3Arrows">
        <cfvo type="percent" val="0"/>
        <cfvo type="percent" val="33"/>
        <cfvo type="percent" val="67"/>
      </iconSet>
    </cfRule>
  </conditionalFormatting>
  <conditionalFormatting sqref="F95:F97">
    <cfRule type="iconSet" priority="3">
      <iconSet iconSet="3Arrows">
        <cfvo type="percent" val="0"/>
        <cfvo type="percent" val="33"/>
        <cfvo type="percent" val="67"/>
      </iconSet>
    </cfRule>
  </conditionalFormatting>
  <conditionalFormatting sqref="G71:G73">
    <cfRule type="iconSet" priority="2">
      <iconSet iconSet="3Arrows">
        <cfvo type="percent" val="0"/>
        <cfvo type="percent" val="33"/>
        <cfvo type="percent" val="67"/>
      </iconSet>
    </cfRule>
  </conditionalFormatting>
  <conditionalFormatting sqref="I62:I64">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4"/>
  <sheetViews>
    <sheetView tabSelected="1" workbookViewId="0">
      <selection activeCell="C34" sqref="C34"/>
    </sheetView>
  </sheetViews>
  <sheetFormatPr defaultRowHeight="15" x14ac:dyDescent="0.25"/>
  <cols>
    <col min="1" max="1" width="10.28515625" customWidth="1"/>
    <col min="2" max="2" width="13.140625" customWidth="1"/>
    <col min="5" max="5" width="10.140625" customWidth="1"/>
    <col min="7" max="7" width="10.28515625" customWidth="1"/>
    <col min="9" max="9" width="11.7109375" customWidth="1"/>
    <col min="12" max="12" width="9.85546875" bestFit="1" customWidth="1"/>
    <col min="16" max="16" width="9.5703125" bestFit="1" customWidth="1"/>
  </cols>
  <sheetData>
    <row r="1" spans="1:16" x14ac:dyDescent="0.25">
      <c r="A1" s="307" t="s">
        <v>487</v>
      </c>
      <c r="B1" s="108"/>
    </row>
    <row r="2" spans="1:16" ht="7.5" customHeight="1" x14ac:dyDescent="0.25"/>
    <row r="3" spans="1:16" ht="29.25" customHeight="1" x14ac:dyDescent="0.25">
      <c r="A3" s="443" t="s">
        <v>332</v>
      </c>
      <c r="B3" s="443"/>
      <c r="C3" s="443" t="s">
        <v>333</v>
      </c>
      <c r="D3" s="443"/>
      <c r="E3" s="443" t="s">
        <v>335</v>
      </c>
      <c r="F3" s="443"/>
      <c r="G3" s="443" t="s">
        <v>209</v>
      </c>
      <c r="H3" s="443"/>
      <c r="I3" s="444" t="s">
        <v>6</v>
      </c>
      <c r="J3" s="444"/>
    </row>
    <row r="4" spans="1:16" ht="60" x14ac:dyDescent="0.25">
      <c r="A4" s="443"/>
      <c r="B4" s="443"/>
      <c r="C4" s="162" t="s">
        <v>334</v>
      </c>
      <c r="D4" s="163" t="s">
        <v>10</v>
      </c>
      <c r="E4" s="163" t="s">
        <v>336</v>
      </c>
      <c r="F4" s="163" t="s">
        <v>337</v>
      </c>
      <c r="G4" s="163" t="s">
        <v>336</v>
      </c>
      <c r="H4" s="163" t="s">
        <v>337</v>
      </c>
      <c r="I4" s="163" t="s">
        <v>338</v>
      </c>
      <c r="J4" s="163" t="s">
        <v>10</v>
      </c>
    </row>
    <row r="5" spans="1:16" x14ac:dyDescent="0.25">
      <c r="A5" s="434" t="s">
        <v>339</v>
      </c>
      <c r="B5" s="434"/>
      <c r="C5" s="60">
        <v>50</v>
      </c>
      <c r="D5" s="62">
        <f>C5/C10</f>
        <v>0.55555555555555558</v>
      </c>
      <c r="E5" s="320" t="s">
        <v>633</v>
      </c>
      <c r="F5" s="62">
        <v>0.34300000000000003</v>
      </c>
      <c r="G5" s="320" t="s">
        <v>635</v>
      </c>
      <c r="H5" s="62">
        <v>0.92900000000000005</v>
      </c>
      <c r="I5" s="142">
        <v>192520315</v>
      </c>
      <c r="J5" s="62">
        <f>I5/I10</f>
        <v>0.69545247972708946</v>
      </c>
    </row>
    <row r="6" spans="1:16" x14ac:dyDescent="0.25">
      <c r="A6" s="434" t="s">
        <v>340</v>
      </c>
      <c r="B6" s="434"/>
      <c r="C6" s="60">
        <v>0</v>
      </c>
      <c r="D6" s="62">
        <f>C6/C10</f>
        <v>0</v>
      </c>
      <c r="E6" s="366">
        <v>0</v>
      </c>
      <c r="F6" s="62">
        <v>0</v>
      </c>
      <c r="G6" s="60">
        <v>0</v>
      </c>
      <c r="H6" s="62">
        <f>0/144</f>
        <v>0</v>
      </c>
      <c r="I6" s="142">
        <v>0</v>
      </c>
      <c r="J6" s="62">
        <f>I6/I10</f>
        <v>0</v>
      </c>
    </row>
    <row r="7" spans="1:16" ht="45" x14ac:dyDescent="0.25">
      <c r="A7" s="461" t="s">
        <v>342</v>
      </c>
      <c r="B7" s="10" t="s">
        <v>206</v>
      </c>
      <c r="C7" s="60">
        <v>10</v>
      </c>
      <c r="D7" s="62">
        <f>C7/C9</f>
        <v>0.25</v>
      </c>
      <c r="E7" s="320" t="s">
        <v>608</v>
      </c>
      <c r="F7" s="62">
        <v>0.44800000000000001</v>
      </c>
      <c r="G7" s="60">
        <v>0</v>
      </c>
      <c r="H7" s="62">
        <f>0/36</f>
        <v>0</v>
      </c>
      <c r="I7" s="142">
        <v>29169337</v>
      </c>
      <c r="J7" s="62">
        <f>I7/I9</f>
        <v>0.34598907584347816</v>
      </c>
    </row>
    <row r="8" spans="1:16" ht="45" x14ac:dyDescent="0.25">
      <c r="A8" s="461"/>
      <c r="B8" s="10" t="s">
        <v>341</v>
      </c>
      <c r="C8" s="60">
        <v>30</v>
      </c>
      <c r="D8" s="62">
        <f>C8/C9</f>
        <v>0.75</v>
      </c>
      <c r="E8" s="320" t="s">
        <v>607</v>
      </c>
      <c r="F8" s="62">
        <v>0.55200000000000005</v>
      </c>
      <c r="G8" s="320" t="s">
        <v>632</v>
      </c>
      <c r="H8" s="62">
        <f>36/36</f>
        <v>1</v>
      </c>
      <c r="I8" s="142">
        <v>55137767</v>
      </c>
      <c r="J8" s="62">
        <f>I8/I9</f>
        <v>0.65401092415652184</v>
      </c>
    </row>
    <row r="9" spans="1:16" x14ac:dyDescent="0.25">
      <c r="A9" s="461"/>
      <c r="B9" s="208" t="s">
        <v>19</v>
      </c>
      <c r="C9" s="281">
        <f>SUM(C7:C8)</f>
        <v>40</v>
      </c>
      <c r="D9" s="282">
        <f>C9/C10</f>
        <v>0.44444444444444442</v>
      </c>
      <c r="E9" s="367" t="s">
        <v>609</v>
      </c>
      <c r="F9" s="282">
        <v>0.65700000000000003</v>
      </c>
      <c r="G9" s="367" t="s">
        <v>632</v>
      </c>
      <c r="H9" s="282">
        <v>7.0999999999999994E-2</v>
      </c>
      <c r="I9" s="298">
        <f>I8+I7</f>
        <v>84307104</v>
      </c>
      <c r="J9" s="282">
        <f>I9/I10</f>
        <v>0.30454752027291054</v>
      </c>
    </row>
    <row r="10" spans="1:16" ht="14.25" customHeight="1" x14ac:dyDescent="0.25">
      <c r="A10" s="460" t="s">
        <v>343</v>
      </c>
      <c r="B10" s="460"/>
      <c r="C10" s="63">
        <f>C5+C6+C9</f>
        <v>90</v>
      </c>
      <c r="D10" s="206">
        <f>D5+D6+D9</f>
        <v>1</v>
      </c>
      <c r="E10" s="207" t="s">
        <v>634</v>
      </c>
      <c r="F10" s="206">
        <f>F5+F6+F9</f>
        <v>1</v>
      </c>
      <c r="G10" s="207" t="s">
        <v>636</v>
      </c>
      <c r="H10" s="206">
        <f>H5+H6+H9</f>
        <v>1</v>
      </c>
      <c r="I10" s="110">
        <f>I5+I7+I8</f>
        <v>276827419</v>
      </c>
      <c r="J10" s="206">
        <f>J5+J6+J9</f>
        <v>1</v>
      </c>
    </row>
    <row r="11" spans="1:16" ht="10.5" customHeight="1" x14ac:dyDescent="0.25"/>
    <row r="12" spans="1:16" ht="27.75" customHeight="1" x14ac:dyDescent="0.25">
      <c r="A12" s="457" t="s">
        <v>488</v>
      </c>
      <c r="B12" s="457"/>
      <c r="C12" s="457"/>
      <c r="D12" s="457"/>
      <c r="E12" s="457"/>
      <c r="F12" s="457"/>
      <c r="G12" s="457"/>
      <c r="H12" s="457"/>
      <c r="I12" s="457"/>
      <c r="J12" s="457"/>
      <c r="K12" s="457"/>
      <c r="L12" s="457"/>
      <c r="M12" s="457"/>
    </row>
    <row r="13" spans="1:16" ht="12.75" customHeight="1" x14ac:dyDescent="0.25"/>
    <row r="14" spans="1:16" ht="57" customHeight="1" x14ac:dyDescent="0.25">
      <c r="A14" s="443" t="s">
        <v>344</v>
      </c>
      <c r="B14" s="443"/>
      <c r="C14" s="443"/>
      <c r="D14" s="443"/>
      <c r="E14" s="443"/>
      <c r="F14" s="443"/>
      <c r="G14" s="443"/>
      <c r="H14" s="443"/>
      <c r="I14" s="443"/>
      <c r="J14" s="443"/>
      <c r="K14" s="163" t="s">
        <v>148</v>
      </c>
      <c r="L14" s="163" t="s">
        <v>6</v>
      </c>
      <c r="M14" s="163" t="s">
        <v>10</v>
      </c>
      <c r="P14" s="24"/>
    </row>
    <row r="15" spans="1:16" ht="29.25" customHeight="1" x14ac:dyDescent="0.25">
      <c r="A15" s="435" t="s">
        <v>610</v>
      </c>
      <c r="B15" s="435"/>
      <c r="C15" s="435"/>
      <c r="D15" s="435"/>
      <c r="E15" s="435"/>
      <c r="F15" s="435"/>
      <c r="G15" s="435"/>
      <c r="H15" s="435"/>
      <c r="I15" s="435"/>
      <c r="J15" s="435"/>
      <c r="K15" s="320">
        <f>1+1+1+1+1</f>
        <v>5</v>
      </c>
      <c r="L15" s="142">
        <f>745819+2500000+8900000+745995+1321389</f>
        <v>14213203</v>
      </c>
      <c r="M15" s="62">
        <f>L15/L19</f>
        <v>0.48726520592497524</v>
      </c>
    </row>
    <row r="16" spans="1:16" x14ac:dyDescent="0.25">
      <c r="A16" s="458" t="s">
        <v>637</v>
      </c>
      <c r="B16" s="458"/>
      <c r="C16" s="458"/>
      <c r="D16" s="458"/>
      <c r="E16" s="458"/>
      <c r="F16" s="458"/>
      <c r="G16" s="458"/>
      <c r="H16" s="458"/>
      <c r="I16" s="458"/>
      <c r="J16" s="459"/>
      <c r="K16" s="320">
        <f>1+1+1</f>
        <v>3</v>
      </c>
      <c r="L16" s="142">
        <f>1680000+2124698+2290006</f>
        <v>6094704</v>
      </c>
      <c r="M16" s="62">
        <f>L16/L19</f>
        <v>0.20894215045065989</v>
      </c>
    </row>
    <row r="17" spans="1:13" ht="60.75" customHeight="1" x14ac:dyDescent="0.25">
      <c r="A17" s="458" t="s">
        <v>638</v>
      </c>
      <c r="B17" s="458"/>
      <c r="C17" s="458"/>
      <c r="D17" s="458"/>
      <c r="E17" s="458"/>
      <c r="F17" s="458"/>
      <c r="G17" s="458"/>
      <c r="H17" s="458"/>
      <c r="I17" s="458"/>
      <c r="J17" s="459"/>
      <c r="K17" s="320">
        <v>1</v>
      </c>
      <c r="L17" s="142">
        <v>7961430</v>
      </c>
      <c r="M17" s="62">
        <f>L17/L19</f>
        <v>0.27293832561226883</v>
      </c>
    </row>
    <row r="18" spans="1:13" ht="15.75" customHeight="1" x14ac:dyDescent="0.25">
      <c r="A18" s="458" t="s">
        <v>639</v>
      </c>
      <c r="B18" s="458"/>
      <c r="C18" s="458"/>
      <c r="D18" s="458"/>
      <c r="E18" s="458"/>
      <c r="F18" s="458"/>
      <c r="G18" s="458"/>
      <c r="H18" s="458"/>
      <c r="I18" s="458"/>
      <c r="J18" s="459"/>
      <c r="K18" s="320">
        <v>1</v>
      </c>
      <c r="L18" s="142">
        <v>900000</v>
      </c>
      <c r="M18" s="62">
        <f>L18/L19</f>
        <v>3.0854318012096059E-2</v>
      </c>
    </row>
    <row r="19" spans="1:13" x14ac:dyDescent="0.25">
      <c r="A19" s="202" t="s">
        <v>11</v>
      </c>
      <c r="B19" s="172"/>
      <c r="C19" s="172"/>
      <c r="D19" s="172"/>
      <c r="E19" s="172"/>
      <c r="F19" s="172"/>
      <c r="G19" s="172"/>
      <c r="H19" s="172"/>
      <c r="I19" s="172"/>
      <c r="J19" s="173"/>
      <c r="K19" s="203">
        <f>SUM(K15:K18)</f>
        <v>10</v>
      </c>
      <c r="L19" s="133">
        <f>SUM(L15:L18)</f>
        <v>29169337</v>
      </c>
      <c r="M19" s="134">
        <f>SUM(M15:M18)</f>
        <v>1</v>
      </c>
    </row>
    <row r="20" spans="1:13" x14ac:dyDescent="0.25">
      <c r="K20" s="199"/>
    </row>
    <row r="23" spans="1:13" x14ac:dyDescent="0.25">
      <c r="A23" s="307" t="s">
        <v>489</v>
      </c>
    </row>
    <row r="25" spans="1:13" ht="30.75" customHeight="1" x14ac:dyDescent="0.25">
      <c r="A25" s="454" t="s">
        <v>339</v>
      </c>
      <c r="B25" s="450"/>
      <c r="C25" s="444" t="s">
        <v>340</v>
      </c>
      <c r="D25" s="444"/>
      <c r="E25" s="444" t="s">
        <v>342</v>
      </c>
      <c r="F25" s="444"/>
      <c r="G25" s="443" t="s">
        <v>19</v>
      </c>
      <c r="H25" s="443"/>
      <c r="I25" s="444" t="s">
        <v>6</v>
      </c>
      <c r="J25" s="444"/>
    </row>
    <row r="26" spans="1:13" ht="30" x14ac:dyDescent="0.25">
      <c r="A26" s="164" t="s">
        <v>334</v>
      </c>
      <c r="B26" s="164" t="s">
        <v>10</v>
      </c>
      <c r="C26" s="164" t="s">
        <v>334</v>
      </c>
      <c r="D26" s="161" t="s">
        <v>10</v>
      </c>
      <c r="E26" s="164" t="s">
        <v>334</v>
      </c>
      <c r="F26" s="161" t="s">
        <v>10</v>
      </c>
      <c r="G26" s="164" t="s">
        <v>334</v>
      </c>
      <c r="H26" s="161" t="s">
        <v>10</v>
      </c>
      <c r="I26" s="161" t="s">
        <v>338</v>
      </c>
      <c r="J26" s="161" t="s">
        <v>10</v>
      </c>
    </row>
    <row r="27" spans="1:13" x14ac:dyDescent="0.25">
      <c r="A27" s="200" t="s">
        <v>12</v>
      </c>
      <c r="B27" s="168"/>
      <c r="C27" s="168"/>
      <c r="D27" s="168"/>
      <c r="E27" s="168"/>
      <c r="F27" s="168"/>
      <c r="G27" s="168"/>
      <c r="H27" s="168"/>
      <c r="I27" s="168"/>
      <c r="J27" s="27"/>
    </row>
    <row r="28" spans="1:13" x14ac:dyDescent="0.25">
      <c r="A28" s="201">
        <v>3</v>
      </c>
      <c r="B28" s="300">
        <f>A28/G28</f>
        <v>0.6</v>
      </c>
      <c r="C28" s="299">
        <v>0</v>
      </c>
      <c r="D28" s="300">
        <v>0</v>
      </c>
      <c r="E28" s="299">
        <v>2</v>
      </c>
      <c r="F28" s="300">
        <f>E28/G28</f>
        <v>0.4</v>
      </c>
      <c r="G28" s="299">
        <v>5</v>
      </c>
      <c r="H28" s="300">
        <f>B28+D28+F28</f>
        <v>1</v>
      </c>
      <c r="I28" s="284">
        <v>18220040</v>
      </c>
      <c r="J28" s="300">
        <f>I28/I44</f>
        <v>6.5817324258620497E-2</v>
      </c>
    </row>
    <row r="29" spans="1:13" x14ac:dyDescent="0.25">
      <c r="A29" s="200" t="s">
        <v>13</v>
      </c>
      <c r="B29" s="302"/>
      <c r="C29" s="301"/>
      <c r="D29" s="302"/>
      <c r="E29" s="301"/>
      <c r="F29" s="302"/>
      <c r="G29" s="301"/>
      <c r="H29" s="301"/>
      <c r="I29" s="303"/>
      <c r="J29" s="304"/>
    </row>
    <row r="30" spans="1:13" x14ac:dyDescent="0.25">
      <c r="A30" s="201">
        <v>19</v>
      </c>
      <c r="B30" s="300">
        <f>A30/G30</f>
        <v>0.42222222222222222</v>
      </c>
      <c r="C30" s="299">
        <v>0</v>
      </c>
      <c r="D30" s="300">
        <f>C30/G30</f>
        <v>0</v>
      </c>
      <c r="E30" s="299">
        <v>26</v>
      </c>
      <c r="F30" s="300">
        <f>E30/G30</f>
        <v>0.57777777777777772</v>
      </c>
      <c r="G30" s="299">
        <f>A30+E30</f>
        <v>45</v>
      </c>
      <c r="H30" s="300">
        <f>B30+D30+F30</f>
        <v>1</v>
      </c>
      <c r="I30" s="284">
        <v>118470157</v>
      </c>
      <c r="J30" s="300">
        <f>I30/I44</f>
        <v>0.42795672996539408</v>
      </c>
    </row>
    <row r="31" spans="1:13" x14ac:dyDescent="0.25">
      <c r="A31" s="200" t="s">
        <v>14</v>
      </c>
      <c r="B31" s="302"/>
      <c r="C31" s="301"/>
      <c r="D31" s="302"/>
      <c r="E31" s="301"/>
      <c r="F31" s="302"/>
      <c r="G31" s="301"/>
      <c r="H31" s="301"/>
      <c r="I31" s="303"/>
      <c r="J31" s="304"/>
    </row>
    <row r="32" spans="1:13" x14ac:dyDescent="0.25">
      <c r="A32" s="201">
        <v>9</v>
      </c>
      <c r="B32" s="300">
        <f>A32/G32</f>
        <v>0.9</v>
      </c>
      <c r="C32" s="299">
        <v>0</v>
      </c>
      <c r="D32" s="300">
        <f>C32/G32</f>
        <v>0</v>
      </c>
      <c r="E32" s="299">
        <v>1</v>
      </c>
      <c r="F32" s="300">
        <f>E32/G32</f>
        <v>0.1</v>
      </c>
      <c r="G32" s="299">
        <f>A32+E32</f>
        <v>10</v>
      </c>
      <c r="H32" s="300">
        <f>B32+D32+F32</f>
        <v>1</v>
      </c>
      <c r="I32" s="284">
        <v>30320403</v>
      </c>
      <c r="J32" s="300">
        <f>I32/I44</f>
        <v>0.1095281786375359</v>
      </c>
    </row>
    <row r="33" spans="1:13" x14ac:dyDescent="0.25">
      <c r="A33" s="200" t="s">
        <v>677</v>
      </c>
      <c r="B33" s="302"/>
      <c r="C33" s="301"/>
      <c r="D33" s="302"/>
      <c r="E33" s="301"/>
      <c r="F33" s="302"/>
      <c r="G33" s="301"/>
      <c r="H33" s="301"/>
      <c r="I33" s="303"/>
      <c r="J33" s="304"/>
    </row>
    <row r="34" spans="1:13" x14ac:dyDescent="0.25">
      <c r="A34" s="201">
        <v>1</v>
      </c>
      <c r="B34" s="300">
        <f>A34/G34</f>
        <v>9.0909090909090912E-2</v>
      </c>
      <c r="C34" s="299">
        <v>0</v>
      </c>
      <c r="D34" s="300">
        <f>C34/G34</f>
        <v>0</v>
      </c>
      <c r="E34" s="299">
        <v>10</v>
      </c>
      <c r="F34" s="300">
        <f>E34/G34</f>
        <v>0.90909090909090906</v>
      </c>
      <c r="G34" s="299">
        <f>A34+E34</f>
        <v>11</v>
      </c>
      <c r="H34" s="300">
        <f>B34+D34+F34</f>
        <v>1</v>
      </c>
      <c r="I34" s="284">
        <v>25820171</v>
      </c>
      <c r="J34" s="300">
        <f>I34/I44</f>
        <v>9.3271725370527692E-2</v>
      </c>
    </row>
    <row r="35" spans="1:13" x14ac:dyDescent="0.25">
      <c r="A35" s="200" t="s">
        <v>15</v>
      </c>
      <c r="B35" s="302"/>
      <c r="C35" s="301"/>
      <c r="D35" s="302"/>
      <c r="E35" s="301"/>
      <c r="F35" s="302"/>
      <c r="G35" s="301"/>
      <c r="H35" s="301"/>
      <c r="I35" s="303"/>
      <c r="J35" s="304"/>
    </row>
    <row r="36" spans="1:13" x14ac:dyDescent="0.25">
      <c r="A36" s="201">
        <v>8</v>
      </c>
      <c r="B36" s="300">
        <f>A36/G36</f>
        <v>0.88888888888888884</v>
      </c>
      <c r="C36" s="299">
        <v>0</v>
      </c>
      <c r="D36" s="300">
        <f>C36/G36</f>
        <v>0</v>
      </c>
      <c r="E36" s="299">
        <v>1</v>
      </c>
      <c r="F36" s="300">
        <f>E36/G36</f>
        <v>0.1111111111111111</v>
      </c>
      <c r="G36" s="299">
        <f>A36+E36</f>
        <v>9</v>
      </c>
      <c r="H36" s="300">
        <f>B36+D36+F36</f>
        <v>1</v>
      </c>
      <c r="I36" s="284">
        <v>55229607</v>
      </c>
      <c r="J36" s="300">
        <f>I36/I44</f>
        <v>0.19950916422769524</v>
      </c>
    </row>
    <row r="37" spans="1:13" x14ac:dyDescent="0.25">
      <c r="A37" s="200" t="s">
        <v>16</v>
      </c>
      <c r="B37" s="302"/>
      <c r="C37" s="301"/>
      <c r="D37" s="302"/>
      <c r="E37" s="301"/>
      <c r="F37" s="302"/>
      <c r="G37" s="301"/>
      <c r="H37" s="301"/>
      <c r="I37" s="303"/>
      <c r="J37" s="304"/>
    </row>
    <row r="38" spans="1:13" x14ac:dyDescent="0.25">
      <c r="A38" s="201">
        <v>3</v>
      </c>
      <c r="B38" s="300">
        <f>A38/G38</f>
        <v>1</v>
      </c>
      <c r="C38" s="299">
        <v>0</v>
      </c>
      <c r="D38" s="300">
        <f>C38/G38</f>
        <v>0</v>
      </c>
      <c r="E38" s="299">
        <v>0</v>
      </c>
      <c r="F38" s="300">
        <f>E38/G38</f>
        <v>0</v>
      </c>
      <c r="G38" s="299">
        <f>A38+E38</f>
        <v>3</v>
      </c>
      <c r="H38" s="300">
        <f>B38+D38+F38</f>
        <v>1</v>
      </c>
      <c r="I38" s="284">
        <v>5949300</v>
      </c>
      <c r="J38" s="300">
        <f>I38/I44</f>
        <v>2.1491007001730563E-2</v>
      </c>
      <c r="M38" s="24">
        <f>I44-I10</f>
        <v>0</v>
      </c>
    </row>
    <row r="39" spans="1:13" x14ac:dyDescent="0.25">
      <c r="A39" s="200" t="s">
        <v>17</v>
      </c>
      <c r="B39" s="302"/>
      <c r="C39" s="301"/>
      <c r="D39" s="302"/>
      <c r="E39" s="301"/>
      <c r="F39" s="302"/>
      <c r="G39" s="301"/>
      <c r="H39" s="301"/>
      <c r="I39" s="303"/>
      <c r="J39" s="304"/>
    </row>
    <row r="40" spans="1:13" x14ac:dyDescent="0.25">
      <c r="A40" s="201">
        <v>5</v>
      </c>
      <c r="B40" s="300">
        <f>A40/G40</f>
        <v>1</v>
      </c>
      <c r="C40" s="299">
        <v>0</v>
      </c>
      <c r="D40" s="300">
        <f>C40/G40</f>
        <v>0</v>
      </c>
      <c r="E40" s="299">
        <v>0</v>
      </c>
      <c r="F40" s="300">
        <f>E40/G40</f>
        <v>0</v>
      </c>
      <c r="G40" s="299">
        <f>A40</f>
        <v>5</v>
      </c>
      <c r="H40" s="300">
        <f>B40+D40+F40</f>
        <v>1</v>
      </c>
      <c r="I40" s="284">
        <v>20897307</v>
      </c>
      <c r="J40" s="300">
        <f>I40/I44</f>
        <v>7.5488573622831776E-2</v>
      </c>
    </row>
    <row r="41" spans="1:13" x14ac:dyDescent="0.25">
      <c r="A41" s="200" t="s">
        <v>18</v>
      </c>
      <c r="B41" s="302"/>
      <c r="C41" s="301"/>
      <c r="D41" s="302"/>
      <c r="E41" s="301"/>
      <c r="F41" s="302"/>
      <c r="G41" s="301"/>
      <c r="H41" s="301"/>
      <c r="I41" s="303"/>
      <c r="J41" s="304"/>
    </row>
    <row r="42" spans="1:13" x14ac:dyDescent="0.25">
      <c r="A42" s="201">
        <v>2</v>
      </c>
      <c r="B42" s="300">
        <f>A42/G42</f>
        <v>1</v>
      </c>
      <c r="C42" s="299">
        <v>0</v>
      </c>
      <c r="D42" s="300">
        <v>0</v>
      </c>
      <c r="E42" s="299">
        <v>0</v>
      </c>
      <c r="F42" s="300">
        <f>E42/G42</f>
        <v>0</v>
      </c>
      <c r="G42" s="299">
        <f>A42+E42</f>
        <v>2</v>
      </c>
      <c r="H42" s="300">
        <f>B42+D42+F42</f>
        <v>1</v>
      </c>
      <c r="I42" s="284">
        <v>1920434</v>
      </c>
      <c r="J42" s="300">
        <f>I42/I44</f>
        <v>6.9372969156642683E-3</v>
      </c>
    </row>
    <row r="43" spans="1:13" x14ac:dyDescent="0.25">
      <c r="A43" s="200" t="s">
        <v>19</v>
      </c>
      <c r="B43" s="302"/>
      <c r="C43" s="301"/>
      <c r="D43" s="302"/>
      <c r="E43" s="301"/>
      <c r="F43" s="302"/>
      <c r="G43" s="301"/>
      <c r="H43" s="301"/>
      <c r="I43" s="301"/>
      <c r="J43" s="304"/>
    </row>
    <row r="44" spans="1:13" x14ac:dyDescent="0.25">
      <c r="A44" s="144">
        <f>A28+A30+A32+A34+A36+A38+A40+A42</f>
        <v>50</v>
      </c>
      <c r="B44" s="146">
        <f>A44/G44</f>
        <v>0.55555555555555558</v>
      </c>
      <c r="C44" s="144">
        <f>C28+C30+C32+C34+C36+C38+C40+C42</f>
        <v>0</v>
      </c>
      <c r="D44" s="146">
        <f>C44/G44</f>
        <v>0</v>
      </c>
      <c r="E44" s="144">
        <f>E28+E30+E32+E34+E36+E38+E40+E42</f>
        <v>40</v>
      </c>
      <c r="F44" s="146">
        <f>E44/G44</f>
        <v>0.44444444444444442</v>
      </c>
      <c r="G44" s="144">
        <f>G28+G30+G32+G34+G36+G38+G40+G42</f>
        <v>90</v>
      </c>
      <c r="H44" s="146">
        <f>B44+D44+F44</f>
        <v>1</v>
      </c>
      <c r="I44" s="145">
        <f>I28+I30+I32+I34+I36+I38+I40+I42</f>
        <v>276827419</v>
      </c>
      <c r="J44" s="146">
        <f>SUM(J28:J42)</f>
        <v>1.0000000000000002</v>
      </c>
    </row>
  </sheetData>
  <mergeCells count="20">
    <mergeCell ref="A10:B10"/>
    <mergeCell ref="A6:B6"/>
    <mergeCell ref="A5:B5"/>
    <mergeCell ref="A3:B4"/>
    <mergeCell ref="A12:M12"/>
    <mergeCell ref="I3:J3"/>
    <mergeCell ref="G3:H3"/>
    <mergeCell ref="E3:F3"/>
    <mergeCell ref="C3:D3"/>
    <mergeCell ref="A7:A9"/>
    <mergeCell ref="A14:J14"/>
    <mergeCell ref="C25:D25"/>
    <mergeCell ref="E25:F25"/>
    <mergeCell ref="G25:H25"/>
    <mergeCell ref="I25:J25"/>
    <mergeCell ref="A25:B25"/>
    <mergeCell ref="A15:J15"/>
    <mergeCell ref="A17:J17"/>
    <mergeCell ref="A18:J18"/>
    <mergeCell ref="A16:J1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8"/>
  <sheetViews>
    <sheetView topLeftCell="A25" workbookViewId="0">
      <selection activeCell="T49" sqref="T49"/>
    </sheetView>
  </sheetViews>
  <sheetFormatPr defaultRowHeight="15" x14ac:dyDescent="0.25"/>
  <cols>
    <col min="2" max="2" width="10.140625" customWidth="1"/>
    <col min="3" max="3" width="10.85546875" customWidth="1"/>
    <col min="5" max="5" width="11.28515625" customWidth="1"/>
  </cols>
  <sheetData>
    <row r="1" spans="1:7" x14ac:dyDescent="0.25">
      <c r="A1" s="14" t="s">
        <v>688</v>
      </c>
    </row>
    <row r="3" spans="1:7" ht="45" x14ac:dyDescent="0.25">
      <c r="A3" s="240" t="s">
        <v>37</v>
      </c>
      <c r="B3" s="241" t="s">
        <v>345</v>
      </c>
      <c r="C3" s="241" t="s">
        <v>40</v>
      </c>
      <c r="D3" s="241" t="s">
        <v>10</v>
      </c>
      <c r="E3" s="241" t="s">
        <v>202</v>
      </c>
      <c r="F3" s="242" t="s">
        <v>10</v>
      </c>
      <c r="G3" s="243" t="s">
        <v>19</v>
      </c>
    </row>
    <row r="4" spans="1:7" x14ac:dyDescent="0.25">
      <c r="A4" s="2">
        <v>2012</v>
      </c>
      <c r="B4" s="2">
        <v>101</v>
      </c>
      <c r="C4" s="2">
        <v>109</v>
      </c>
      <c r="D4" s="8">
        <f t="shared" ref="D4:D9" si="0">C4/G4</f>
        <v>0.73648648648648651</v>
      </c>
      <c r="E4" s="2">
        <v>39</v>
      </c>
      <c r="F4" s="96">
        <f t="shared" ref="F4:F9" si="1">E4/G4</f>
        <v>0.26351351351351349</v>
      </c>
      <c r="G4" s="22">
        <v>148</v>
      </c>
    </row>
    <row r="5" spans="1:7" x14ac:dyDescent="0.25">
      <c r="A5" s="2">
        <v>2013</v>
      </c>
      <c r="B5" s="2">
        <v>111</v>
      </c>
      <c r="C5" s="2">
        <v>137</v>
      </c>
      <c r="D5" s="8">
        <f t="shared" si="0"/>
        <v>0.36052631578947369</v>
      </c>
      <c r="E5" s="2">
        <v>243</v>
      </c>
      <c r="F5" s="96">
        <f t="shared" si="1"/>
        <v>0.63947368421052631</v>
      </c>
      <c r="G5" s="22">
        <v>380</v>
      </c>
    </row>
    <row r="6" spans="1:7" x14ac:dyDescent="0.25">
      <c r="A6" s="2">
        <v>2014</v>
      </c>
      <c r="B6" s="2">
        <v>119</v>
      </c>
      <c r="C6" s="2">
        <v>119</v>
      </c>
      <c r="D6" s="8">
        <f t="shared" si="0"/>
        <v>0.78289473684210531</v>
      </c>
      <c r="E6" s="2">
        <v>33</v>
      </c>
      <c r="F6" s="96">
        <f t="shared" si="1"/>
        <v>0.21710526315789475</v>
      </c>
      <c r="G6" s="22">
        <f>C6+E6</f>
        <v>152</v>
      </c>
    </row>
    <row r="7" spans="1:7" x14ac:dyDescent="0.25">
      <c r="A7" s="2">
        <v>2015</v>
      </c>
      <c r="B7" s="2">
        <v>93</v>
      </c>
      <c r="C7" s="2">
        <v>129</v>
      </c>
      <c r="D7" s="8">
        <f t="shared" si="0"/>
        <v>0.47252747252747251</v>
      </c>
      <c r="E7" s="2">
        <v>144</v>
      </c>
      <c r="F7" s="96">
        <f t="shared" si="1"/>
        <v>0.52747252747252749</v>
      </c>
      <c r="G7" s="22">
        <f>C7+E7</f>
        <v>273</v>
      </c>
    </row>
    <row r="8" spans="1:7" x14ac:dyDescent="0.25">
      <c r="A8" s="111">
        <v>2016</v>
      </c>
      <c r="B8" s="111">
        <v>98</v>
      </c>
      <c r="C8" s="111">
        <v>104</v>
      </c>
      <c r="D8" s="8">
        <f t="shared" si="0"/>
        <v>0.71232876712328763</v>
      </c>
      <c r="E8" s="111">
        <v>42</v>
      </c>
      <c r="F8" s="316">
        <f t="shared" si="1"/>
        <v>0.28767123287671231</v>
      </c>
      <c r="G8" s="27">
        <f>C8+E8</f>
        <v>146</v>
      </c>
    </row>
    <row r="9" spans="1:7" x14ac:dyDescent="0.25">
      <c r="A9" s="111">
        <v>2017</v>
      </c>
      <c r="B9" s="111">
        <v>90</v>
      </c>
      <c r="C9" s="111">
        <v>72</v>
      </c>
      <c r="D9" s="8">
        <f t="shared" si="0"/>
        <v>0.26666666666666666</v>
      </c>
      <c r="E9" s="111">
        <v>198</v>
      </c>
      <c r="F9" s="316">
        <f t="shared" si="1"/>
        <v>0.73333333333333328</v>
      </c>
      <c r="G9" s="27">
        <f>C9+E9</f>
        <v>270</v>
      </c>
    </row>
    <row r="11" spans="1:7" x14ac:dyDescent="0.25">
      <c r="A11" s="14" t="s">
        <v>401</v>
      </c>
    </row>
    <row r="13" spans="1:7" ht="45" x14ac:dyDescent="0.25">
      <c r="A13" s="240"/>
      <c r="B13" s="241" t="s">
        <v>40</v>
      </c>
      <c r="C13" s="241" t="s">
        <v>349</v>
      </c>
    </row>
    <row r="14" spans="1:7" x14ac:dyDescent="0.25">
      <c r="A14" s="2" t="s">
        <v>24</v>
      </c>
      <c r="B14" s="8">
        <v>0.73599999999999999</v>
      </c>
      <c r="C14" s="8">
        <v>0.26400000000000001</v>
      </c>
    </row>
    <row r="15" spans="1:7" x14ac:dyDescent="0.25">
      <c r="A15" s="2" t="s">
        <v>25</v>
      </c>
      <c r="B15" s="8">
        <v>0.36099999999999999</v>
      </c>
      <c r="C15" s="8">
        <v>0.63900000000000001</v>
      </c>
    </row>
    <row r="16" spans="1:7" x14ac:dyDescent="0.25">
      <c r="A16" s="2" t="s">
        <v>26</v>
      </c>
      <c r="B16" s="8">
        <v>0.78300000000000003</v>
      </c>
      <c r="C16" s="8">
        <v>0.217</v>
      </c>
    </row>
    <row r="17" spans="1:3" x14ac:dyDescent="0.25">
      <c r="A17" s="2" t="s">
        <v>27</v>
      </c>
      <c r="B17" s="8">
        <v>0.47299999999999998</v>
      </c>
      <c r="C17" s="8">
        <v>0.52700000000000002</v>
      </c>
    </row>
    <row r="18" spans="1:3" x14ac:dyDescent="0.25">
      <c r="A18" s="111" t="s">
        <v>429</v>
      </c>
      <c r="B18" s="267">
        <v>0.71199999999999997</v>
      </c>
      <c r="C18" s="267">
        <v>0.28799999999999998</v>
      </c>
    </row>
    <row r="19" spans="1:3" x14ac:dyDescent="0.25">
      <c r="A19" s="111" t="s">
        <v>470</v>
      </c>
      <c r="B19" s="8">
        <v>0.26100000000000001</v>
      </c>
      <c r="C19" s="8">
        <v>0.73899999999999999</v>
      </c>
    </row>
    <row r="31" spans="1:3" x14ac:dyDescent="0.25">
      <c r="A31" s="14" t="s">
        <v>689</v>
      </c>
    </row>
    <row r="33" spans="1:5" ht="135" x14ac:dyDescent="0.25">
      <c r="A33" s="63"/>
      <c r="B33" s="241" t="s">
        <v>39</v>
      </c>
      <c r="C33" s="241" t="s">
        <v>691</v>
      </c>
      <c r="D33" s="249" t="s">
        <v>690</v>
      </c>
    </row>
    <row r="34" spans="1:5" x14ac:dyDescent="0.25">
      <c r="A34" s="2" t="s">
        <v>25</v>
      </c>
      <c r="B34" s="8">
        <f>(B5-B4)/B4</f>
        <v>9.9009900990099015E-2</v>
      </c>
      <c r="C34" s="8">
        <f>(G5-G4)/G4</f>
        <v>1.5675675675675675</v>
      </c>
      <c r="D34" s="18">
        <f>G5/B5</f>
        <v>3.4234234234234235</v>
      </c>
    </row>
    <row r="35" spans="1:5" x14ac:dyDescent="0.25">
      <c r="A35" s="2" t="s">
        <v>26</v>
      </c>
      <c r="B35" s="8">
        <f>(B6-B5)/B5</f>
        <v>7.2072072072072071E-2</v>
      </c>
      <c r="C35" s="8">
        <f>(G6-G5)/G5</f>
        <v>-0.6</v>
      </c>
      <c r="D35" s="18">
        <f>G6/B6</f>
        <v>1.2773109243697478</v>
      </c>
    </row>
    <row r="36" spans="1:5" x14ac:dyDescent="0.25">
      <c r="A36" s="2" t="s">
        <v>27</v>
      </c>
      <c r="B36" s="8">
        <f>(B7-B6)/B6</f>
        <v>-0.21848739495798319</v>
      </c>
      <c r="C36" s="8">
        <f>(G7-G6)/G6</f>
        <v>0.79605263157894735</v>
      </c>
      <c r="D36" s="18">
        <f>G7/B7</f>
        <v>2.935483870967742</v>
      </c>
      <c r="E36" s="149"/>
    </row>
    <row r="37" spans="1:5" x14ac:dyDescent="0.25">
      <c r="A37" s="111" t="s">
        <v>429</v>
      </c>
      <c r="B37" s="8">
        <f>(B8-B7)/B7</f>
        <v>5.3763440860215055E-2</v>
      </c>
      <c r="C37" s="8">
        <f>(G8-G7)/G7</f>
        <v>-0.46520146520146521</v>
      </c>
      <c r="D37" s="167">
        <f>G8/B8</f>
        <v>1.489795918367347</v>
      </c>
    </row>
    <row r="38" spans="1:5" x14ac:dyDescent="0.25">
      <c r="A38" s="111" t="s">
        <v>470</v>
      </c>
      <c r="B38" s="8">
        <f>(C9-C8)/C8</f>
        <v>-0.30769230769230771</v>
      </c>
      <c r="C38" s="8">
        <f>(G9-G8)/G8</f>
        <v>0.84931506849315064</v>
      </c>
      <c r="D38" s="167">
        <f>G9/B9</f>
        <v>3</v>
      </c>
    </row>
  </sheetData>
  <conditionalFormatting sqref="B4:B9">
    <cfRule type="iconSet" priority="8">
      <iconSet iconSet="3Arrows">
        <cfvo type="percent" val="0"/>
        <cfvo type="percent" val="33"/>
        <cfvo type="percent" val="67"/>
      </iconSet>
    </cfRule>
  </conditionalFormatting>
  <conditionalFormatting sqref="C4:C9">
    <cfRule type="iconSet" priority="7">
      <iconSet iconSet="3Arrows">
        <cfvo type="percent" val="0"/>
        <cfvo type="percent" val="33"/>
        <cfvo type="percent" val="67"/>
      </iconSet>
    </cfRule>
  </conditionalFormatting>
  <conditionalFormatting sqref="E4:E9">
    <cfRule type="iconSet" priority="6">
      <iconSet iconSet="3Arrows">
        <cfvo type="percent" val="0"/>
        <cfvo type="percent" val="33"/>
        <cfvo type="percent" val="67"/>
      </iconSet>
    </cfRule>
  </conditionalFormatting>
  <conditionalFormatting sqref="G4:G9">
    <cfRule type="iconSet" priority="5">
      <iconSet iconSet="3Arrows">
        <cfvo type="percent" val="0"/>
        <cfvo type="percent" val="33"/>
        <cfvo type="percent" val="67"/>
      </iconSet>
    </cfRule>
  </conditionalFormatting>
  <conditionalFormatting sqref="D4:D9">
    <cfRule type="top10" dxfId="24" priority="9" percent="1" rank="10"/>
  </conditionalFormatting>
  <conditionalFormatting sqref="C14:C19">
    <cfRule type="iconSet" priority="3">
      <iconSet iconSet="3Arrows">
        <cfvo type="percent" val="0"/>
        <cfvo type="percent" val="33"/>
        <cfvo type="percent" val="67"/>
      </iconSet>
    </cfRule>
    <cfRule type="top10" dxfId="23" priority="4" percent="1" rank="10"/>
  </conditionalFormatting>
  <conditionalFormatting sqref="B14:B19">
    <cfRule type="iconSet" priority="1">
      <iconSet iconSet="3Arrows">
        <cfvo type="percent" val="0"/>
        <cfvo type="percent" val="33"/>
        <cfvo type="percent" val="67"/>
      </iconSet>
    </cfRule>
    <cfRule type="top10" dxfId="22" priority="2" percent="1" rank="10"/>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SPSIL_2017_gads</vt:lpstr>
      <vt:lpstr>Satura_rādītājs_metodoloģija</vt:lpstr>
      <vt:lpstr>I_Kopā_2017</vt:lpstr>
      <vt:lpstr>II_Dinamika_sps_skaits_kopā_sum</vt:lpstr>
      <vt:lpstr>II_Kopējā_dinamika</vt:lpstr>
      <vt:lpstr>III_Virs_ES_Tab_2012_2017</vt:lpstr>
      <vt:lpstr>III_Virs_ES_iep_veidi_Tab_Din</vt:lpstr>
      <vt:lpstr>III_Virs_ES_procedūras_Tab</vt:lpstr>
      <vt:lpstr>III_Virs_ES_līgumu_vis.vien_Din</vt:lpstr>
      <vt:lpstr>III_Virs_ES_CPV_kodu_sadalījums</vt:lpstr>
      <vt:lpstr>III_Virs_ES_ārvalstnieki_Tab</vt:lpstr>
      <vt:lpstr>III_Virs_ES_ārvalstnieki_Din</vt:lpstr>
      <vt:lpstr>IV_Zem_Tab</vt:lpstr>
      <vt:lpstr>IV_Zem_Din</vt:lpstr>
      <vt:lpstr>V_Izņēmumi_Tab</vt:lpstr>
      <vt:lpstr>V_Izņēmumi_Din</vt:lpstr>
      <vt:lpstr>Duālo_pasūtītāju_saraksts</vt:lpstr>
      <vt:lpstr>Virs_ES_saraksts</vt:lpstr>
      <vt:lpstr>Secinājumi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2018-08-30T12:21:31Z</cp:lastPrinted>
  <dcterms:created xsi:type="dcterms:W3CDTF">2016-08-18T05:57:41Z</dcterms:created>
  <dcterms:modified xsi:type="dcterms:W3CDTF">2018-10-24T05:41:25Z</dcterms:modified>
</cp:coreProperties>
</file>