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mc:AlternateContent xmlns:mc="http://schemas.openxmlformats.org/markup-compatibility/2006">
    <mc:Choice Requires="x15">
      <x15ac:absPath xmlns:x15ac="http://schemas.microsoft.com/office/spreadsheetml/2010/11/ac" url="C:\Users\Renate.Kundzina\Documents\2018.gads\Pārskati\ADJIL\"/>
    </mc:Choice>
  </mc:AlternateContent>
  <xr:revisionPtr revIDLastSave="0" documentId="10_ncr:8100000_{AE2C8FC7-D138-4421-A78B-1891E3E7C25B}" xr6:coauthVersionLast="32" xr6:coauthVersionMax="32" xr10:uidLastSave="{00000000-0000-0000-0000-000000000000}"/>
  <bookViews>
    <workbookView xWindow="0" yWindow="0" windowWidth="9345" windowHeight="9585" xr2:uid="{00000000-000D-0000-FFFF-FFFF00000000}"/>
  </bookViews>
  <sheets>
    <sheet name="Pavisam_kopā_tab" sheetId="1" r:id="rId1"/>
    <sheet name="Diagramma_pa_gadiem" sheetId="7" r:id="rId2"/>
    <sheet name="Decentralizetie_kopa_tab" sheetId="3" r:id="rId3"/>
    <sheet name="Virs_zem_%_pa_gadiem" sheetId="10" r:id="rId4"/>
    <sheet name="Centralizētie_kopā_tab" sheetId="2" r:id="rId5"/>
    <sheet name="Dec_centr_%_pret_kopā" sheetId="11" r:id="rId6"/>
    <sheet name="Valstiskā_piederība_tab" sheetId="4" r:id="rId7"/>
    <sheet name="Dinamika_valstu_dalījumā" sheetId="12" r:id="rId8"/>
    <sheet name="Procedūras_tab" sheetId="5" r:id="rId9"/>
    <sheet name="Procedūru_dinamika" sheetId="14" r:id="rId10"/>
    <sheet name="CPV_kodi_tab" sheetId="6" r:id="rId11"/>
    <sheet name="CPV_kodi_%_dinamika" sheetId="13"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6" l="1"/>
  <c r="D38" i="6" s="1"/>
  <c r="C12" i="6"/>
  <c r="C38" i="6" s="1"/>
  <c r="G93" i="14"/>
  <c r="E93" i="14"/>
  <c r="C93" i="14"/>
  <c r="F93" i="14"/>
  <c r="D93" i="14"/>
  <c r="B93" i="14"/>
  <c r="D92" i="14"/>
  <c r="L83" i="14"/>
  <c r="K83" i="14"/>
  <c r="D83" i="14"/>
  <c r="C83" i="14"/>
  <c r="G27" i="14"/>
  <c r="F27" i="14"/>
  <c r="F40" i="5"/>
  <c r="E40" i="5"/>
  <c r="H40" i="5"/>
  <c r="G40" i="5"/>
  <c r="Q44" i="12" l="1"/>
  <c r="C52" i="12" s="1"/>
  <c r="AB23" i="4"/>
  <c r="AA23" i="4"/>
  <c r="Z23" i="4"/>
  <c r="Y23" i="4"/>
  <c r="X23" i="4"/>
  <c r="W23" i="4"/>
  <c r="T23" i="4"/>
  <c r="S23" i="4"/>
  <c r="P23" i="4"/>
  <c r="O23" i="4"/>
  <c r="L23" i="4"/>
  <c r="K23" i="4"/>
  <c r="AH22" i="4"/>
  <c r="AH21" i="4"/>
  <c r="AG21" i="4"/>
  <c r="R21" i="4"/>
  <c r="Q21" i="4"/>
  <c r="N21" i="4"/>
  <c r="M21" i="4"/>
  <c r="D21" i="4"/>
  <c r="C21" i="4"/>
  <c r="Z21" i="4"/>
  <c r="Y21" i="4"/>
  <c r="H21" i="4"/>
  <c r="G21" i="4"/>
  <c r="F52" i="11"/>
  <c r="G52" i="11" s="1"/>
  <c r="E52" i="11"/>
  <c r="C52" i="11"/>
  <c r="D52" i="11"/>
  <c r="B52" i="11"/>
  <c r="G42" i="11"/>
  <c r="I42" i="11"/>
  <c r="H42" i="11"/>
  <c r="D42" i="11"/>
  <c r="G49" i="10"/>
  <c r="H49" i="10"/>
  <c r="F49" i="10"/>
  <c r="C49" i="10"/>
  <c r="D49" i="10"/>
  <c r="B49" i="10"/>
  <c r="C48" i="10"/>
  <c r="B48" i="10"/>
  <c r="I41" i="10"/>
  <c r="H40" i="10"/>
  <c r="H39" i="10"/>
  <c r="I40" i="10"/>
  <c r="H41" i="10"/>
  <c r="G10" i="2"/>
  <c r="D10" i="2"/>
  <c r="G10" i="3"/>
  <c r="D10" i="3"/>
  <c r="F10" i="3"/>
  <c r="C10" i="3"/>
  <c r="F10" i="2"/>
  <c r="C10" i="2"/>
  <c r="E10" i="2"/>
  <c r="B10" i="2"/>
  <c r="D52" i="12" l="1"/>
  <c r="B52" i="12"/>
  <c r="E32" i="7"/>
  <c r="D32" i="7"/>
  <c r="C32" i="7"/>
  <c r="B32" i="7"/>
  <c r="G10" i="1"/>
  <c r="D10" i="1"/>
  <c r="F10" i="1"/>
  <c r="C10" i="1"/>
  <c r="E10" i="1"/>
  <c r="B10" i="1"/>
  <c r="H83" i="14" l="1"/>
  <c r="G83" i="14"/>
  <c r="F83" i="14"/>
  <c r="E83" i="14"/>
  <c r="D23" i="5"/>
  <c r="C23" i="5"/>
  <c r="R23" i="4"/>
  <c r="Q23" i="4"/>
  <c r="N23" i="4"/>
  <c r="M23" i="4"/>
  <c r="H23" i="4"/>
  <c r="G23" i="4"/>
  <c r="F23" i="4"/>
  <c r="E23" i="4"/>
  <c r="D23" i="4"/>
  <c r="C23" i="4"/>
  <c r="AG22" i="4"/>
  <c r="AG23" i="4" l="1"/>
  <c r="AH23" i="4"/>
  <c r="F38" i="6"/>
  <c r="E38" i="6"/>
  <c r="J80" i="14"/>
  <c r="I80" i="14"/>
  <c r="H80" i="14"/>
  <c r="G80" i="14"/>
  <c r="F80" i="14"/>
  <c r="E80" i="14"/>
  <c r="G26" i="14"/>
  <c r="F26" i="14"/>
  <c r="D20" i="5"/>
  <c r="C20" i="5"/>
  <c r="Q43" i="12" l="1"/>
  <c r="B51" i="12" s="1"/>
  <c r="AH20" i="4"/>
  <c r="AG20" i="4"/>
  <c r="AF20" i="4"/>
  <c r="AE20" i="4"/>
  <c r="V20" i="4"/>
  <c r="U20" i="4"/>
  <c r="R20" i="4"/>
  <c r="Q20" i="4"/>
  <c r="N20" i="4"/>
  <c r="M20" i="4"/>
  <c r="H20" i="4"/>
  <c r="G20" i="4"/>
  <c r="F20" i="4"/>
  <c r="E20" i="4"/>
  <c r="D20" i="4"/>
  <c r="C20" i="4"/>
  <c r="AH19" i="4"/>
  <c r="AG19" i="4"/>
  <c r="AH18" i="4"/>
  <c r="AG18" i="4"/>
  <c r="F51" i="11"/>
  <c r="G51" i="11"/>
  <c r="E51" i="11"/>
  <c r="C51" i="11"/>
  <c r="D51" i="11"/>
  <c r="B51" i="11"/>
  <c r="I41" i="11"/>
  <c r="G41" i="11"/>
  <c r="H41" i="11"/>
  <c r="D41" i="11"/>
  <c r="G48" i="10"/>
  <c r="H48" i="10"/>
  <c r="F48" i="10"/>
  <c r="D48" i="10"/>
  <c r="G40" i="10"/>
  <c r="D40" i="10"/>
  <c r="G9" i="2"/>
  <c r="D9" i="2"/>
  <c r="G9" i="3"/>
  <c r="D9" i="3"/>
  <c r="G9" i="1"/>
  <c r="D9" i="1"/>
  <c r="C51" i="12" l="1"/>
  <c r="D51" i="12"/>
  <c r="L80" i="14"/>
  <c r="K80" i="14"/>
  <c r="H92" i="14" l="1"/>
  <c r="F92" i="14"/>
  <c r="G92" i="14"/>
  <c r="E92" i="14"/>
  <c r="I92" i="14"/>
  <c r="J77" i="14"/>
  <c r="I77" i="14"/>
  <c r="H77" i="14"/>
  <c r="G77" i="14"/>
  <c r="F77" i="14"/>
  <c r="E77" i="14"/>
  <c r="F74" i="14"/>
  <c r="L74" i="14" s="1"/>
  <c r="E74" i="14"/>
  <c r="K74" i="14" s="1"/>
  <c r="F71" i="14"/>
  <c r="L71" i="14" s="1"/>
  <c r="E71" i="14"/>
  <c r="K71" i="14" s="1"/>
  <c r="G25" i="14"/>
  <c r="F25" i="14"/>
  <c r="G24" i="14"/>
  <c r="F24" i="14"/>
  <c r="G23" i="14"/>
  <c r="F23" i="14"/>
  <c r="G22" i="14"/>
  <c r="F22" i="14"/>
  <c r="K77" i="14" l="1"/>
  <c r="F91" i="14" s="1"/>
  <c r="D89" i="14"/>
  <c r="E89" i="14"/>
  <c r="D90" i="14"/>
  <c r="L77" i="14"/>
  <c r="I91" i="14" s="1"/>
  <c r="E90" i="14"/>
  <c r="D17" i="5"/>
  <c r="C17" i="5"/>
  <c r="D14" i="5"/>
  <c r="C14" i="5"/>
  <c r="D11" i="5"/>
  <c r="C11" i="5"/>
  <c r="D8" i="5"/>
  <c r="D91" i="14" l="1"/>
  <c r="H91" i="14"/>
  <c r="G91" i="14"/>
  <c r="E91" i="14"/>
  <c r="M38" i="6"/>
  <c r="K38" i="6"/>
  <c r="I38" i="6"/>
  <c r="G38" i="6"/>
  <c r="N38" i="6"/>
  <c r="L38" i="6"/>
  <c r="J38" i="6"/>
  <c r="H38" i="6"/>
  <c r="Q40" i="12" l="1"/>
  <c r="D48" i="12" s="1"/>
  <c r="Q41" i="12"/>
  <c r="D49" i="12" s="1"/>
  <c r="Q42" i="12"/>
  <c r="B50" i="12" s="1"/>
  <c r="Q39" i="12"/>
  <c r="C47" i="12" s="1"/>
  <c r="I40" i="11"/>
  <c r="I39" i="11"/>
  <c r="I38" i="11"/>
  <c r="H40" i="11"/>
  <c r="H39" i="11"/>
  <c r="H38" i="11"/>
  <c r="H37" i="11"/>
  <c r="E50" i="11"/>
  <c r="G50" i="11" s="1"/>
  <c r="B48" i="11"/>
  <c r="G38" i="11"/>
  <c r="F48" i="11" s="1"/>
  <c r="G39" i="11"/>
  <c r="F49" i="11" s="1"/>
  <c r="G40" i="11"/>
  <c r="F50" i="11" s="1"/>
  <c r="G37" i="11"/>
  <c r="E47" i="11" s="1"/>
  <c r="D38" i="11"/>
  <c r="C48" i="11" s="1"/>
  <c r="D39" i="11"/>
  <c r="B49" i="11" s="1"/>
  <c r="D40" i="11"/>
  <c r="C50" i="11" s="1"/>
  <c r="D37" i="11"/>
  <c r="B47" i="11" s="1"/>
  <c r="D47" i="12" l="1"/>
  <c r="C50" i="12"/>
  <c r="D50" i="12"/>
  <c r="B49" i="12"/>
  <c r="B48" i="12"/>
  <c r="C49" i="12"/>
  <c r="B47" i="12"/>
  <c r="C48" i="12"/>
  <c r="G47" i="11"/>
  <c r="C47" i="11"/>
  <c r="F47" i="11"/>
  <c r="E48" i="11"/>
  <c r="G48" i="11"/>
  <c r="D47" i="11"/>
  <c r="C57" i="11" s="1"/>
  <c r="B58" i="11"/>
  <c r="C49" i="11"/>
  <c r="B50" i="11"/>
  <c r="D48" i="11"/>
  <c r="C58" i="11" s="1"/>
  <c r="E49" i="11"/>
  <c r="G49" i="11" s="1"/>
  <c r="I38" i="10"/>
  <c r="I39" i="10"/>
  <c r="I37" i="10"/>
  <c r="I36" i="10"/>
  <c r="H38" i="10"/>
  <c r="H37" i="10"/>
  <c r="H36" i="10"/>
  <c r="H45" i="10"/>
  <c r="H46" i="10"/>
  <c r="H47" i="10"/>
  <c r="H44" i="10"/>
  <c r="D44" i="10"/>
  <c r="G45" i="10"/>
  <c r="G46" i="10"/>
  <c r="G47" i="10"/>
  <c r="F45" i="10"/>
  <c r="F46" i="10"/>
  <c r="F47" i="10"/>
  <c r="G44" i="10"/>
  <c r="F44" i="10"/>
  <c r="C45" i="10"/>
  <c r="C46" i="10"/>
  <c r="C47" i="10"/>
  <c r="B45" i="10"/>
  <c r="D45" i="10" s="1"/>
  <c r="B46" i="10"/>
  <c r="D46" i="10" s="1"/>
  <c r="B47" i="10"/>
  <c r="D47" i="10" s="1"/>
  <c r="C44" i="10"/>
  <c r="B44" i="10"/>
  <c r="G39" i="10"/>
  <c r="D39" i="10"/>
  <c r="G38" i="10"/>
  <c r="D38" i="10"/>
  <c r="G37" i="10"/>
  <c r="D37" i="10"/>
  <c r="G36" i="10"/>
  <c r="D36" i="10"/>
  <c r="D49" i="11" l="1"/>
  <c r="B59" i="11" s="1"/>
  <c r="B57" i="11"/>
  <c r="D50" i="11"/>
  <c r="C60" i="11" s="1"/>
  <c r="AH16" i="4"/>
  <c r="AG16" i="4"/>
  <c r="X17" i="4"/>
  <c r="W17" i="4"/>
  <c r="AF17" i="4"/>
  <c r="AE17" i="4"/>
  <c r="AD17" i="4"/>
  <c r="AC17" i="4"/>
  <c r="B60" i="11" l="1"/>
  <c r="C59" i="11"/>
  <c r="AG17" i="4"/>
  <c r="AH17" i="4"/>
  <c r="AH15" i="4"/>
  <c r="AG15" i="4"/>
  <c r="Z17" i="4"/>
  <c r="Y17" i="4"/>
  <c r="J17" i="4"/>
  <c r="I17" i="4"/>
  <c r="H17" i="4"/>
  <c r="G17" i="4"/>
  <c r="F17" i="4"/>
  <c r="E17" i="4"/>
  <c r="AG14" i="4"/>
  <c r="AH13" i="4"/>
  <c r="AG13" i="4"/>
  <c r="AH12" i="4"/>
  <c r="AH14" i="4" s="1"/>
  <c r="AG12" i="4"/>
  <c r="Z14" i="4"/>
  <c r="Y14" i="4"/>
  <c r="L14" i="4"/>
  <c r="K14" i="4"/>
  <c r="H14" i="4"/>
  <c r="G14" i="4"/>
  <c r="F14" i="4"/>
  <c r="E14" i="4"/>
  <c r="AG11" i="4"/>
  <c r="AH11" i="4"/>
  <c r="AH10" i="4"/>
  <c r="AG10" i="4"/>
  <c r="AH9" i="4"/>
  <c r="AG9" i="4"/>
  <c r="Z11" i="4"/>
  <c r="Y11" i="4"/>
  <c r="H11" i="4"/>
  <c r="G11" i="4"/>
  <c r="AG8" i="4"/>
  <c r="AH8" i="4"/>
  <c r="AH7" i="4"/>
  <c r="AG7" i="4"/>
  <c r="F8" i="4"/>
  <c r="E8" i="4"/>
  <c r="D17" i="4" l="1"/>
  <c r="C17" i="4"/>
  <c r="G5" i="2"/>
  <c r="D5" i="2"/>
  <c r="G5" i="3"/>
  <c r="D5" i="3"/>
  <c r="D5" i="1"/>
  <c r="G6" i="3"/>
  <c r="D6" i="3"/>
  <c r="G6" i="2"/>
  <c r="D6" i="2"/>
  <c r="G7" i="2"/>
  <c r="D7" i="2"/>
  <c r="G7" i="3"/>
  <c r="D7" i="3"/>
  <c r="G8" i="2"/>
  <c r="D8" i="2"/>
  <c r="G8" i="3"/>
  <c r="D8" i="3"/>
  <c r="G5" i="1"/>
  <c r="G6" i="1"/>
  <c r="D6" i="1"/>
  <c r="G7" i="1"/>
  <c r="D7" i="1"/>
  <c r="G8" i="1" l="1"/>
  <c r="D8" i="1"/>
</calcChain>
</file>

<file path=xl/sharedStrings.xml><?xml version="1.0" encoding="utf-8"?>
<sst xmlns="http://schemas.openxmlformats.org/spreadsheetml/2006/main" count="529" uniqueCount="152">
  <si>
    <t>Iepirkumu skaits</t>
  </si>
  <si>
    <t>virs ES līgumcenu sliekšņa</t>
  </si>
  <si>
    <t>zem ES līgumcenu sliekšņa</t>
  </si>
  <si>
    <t>Kopā</t>
  </si>
  <si>
    <t>2012.gads</t>
  </si>
  <si>
    <t>Lietuva</t>
  </si>
  <si>
    <t>2013.gads</t>
  </si>
  <si>
    <t>2014.gads</t>
  </si>
  <si>
    <t>2015.gads</t>
  </si>
  <si>
    <t>32344230-7</t>
  </si>
  <si>
    <t>35622700-7</t>
  </si>
  <si>
    <t>50660000-9</t>
  </si>
  <si>
    <t>50212000-4</t>
  </si>
  <si>
    <t>60000000-8</t>
  </si>
  <si>
    <t>31400000-0</t>
  </si>
  <si>
    <t>35520000-5</t>
  </si>
  <si>
    <t>35331300-3</t>
  </si>
  <si>
    <t>35420000-4</t>
  </si>
  <si>
    <t>44613400-4</t>
  </si>
  <si>
    <t>72230000-6</t>
  </si>
  <si>
    <t xml:space="preserve">CPV kods </t>
  </si>
  <si>
    <t>Līgumcena (EUR bez PVN)</t>
  </si>
  <si>
    <t>72000000-5</t>
  </si>
  <si>
    <t>50000000-5</t>
  </si>
  <si>
    <t>44000000-0</t>
  </si>
  <si>
    <t>35000000-4</t>
  </si>
  <si>
    <t>32000000-3</t>
  </si>
  <si>
    <t>31000000-6</t>
  </si>
  <si>
    <t>Aizsardzības un drošības jomas valsts sektora virs ES līgumcenu sliekšņa iepirkumu valstiskā piederība</t>
  </si>
  <si>
    <t>Latvija</t>
  </si>
  <si>
    <t>Līgumu skaits</t>
  </si>
  <si>
    <t>Zviedrija</t>
  </si>
  <si>
    <t>Francija</t>
  </si>
  <si>
    <t>ASV</t>
  </si>
  <si>
    <t>piegāde</t>
  </si>
  <si>
    <t>Citas ES dalībvalstis</t>
  </si>
  <si>
    <t>Citas valstis</t>
  </si>
  <si>
    <t>kopā</t>
  </si>
  <si>
    <t>Beļģija</t>
  </si>
  <si>
    <t>Iepirkumu veids</t>
  </si>
  <si>
    <t>Gads</t>
  </si>
  <si>
    <t>Kopējā līgumcenu summa (EUR) bez PVN</t>
  </si>
  <si>
    <t>Piedāvāto līgumcenu summa (EUR) bez PVN</t>
  </si>
  <si>
    <t>Lielbritānija</t>
  </si>
  <si>
    <t>Krievija</t>
  </si>
  <si>
    <t>Norvēģija</t>
  </si>
  <si>
    <t>Iepirkumu skaits virs ES līgumcenu sliekšņa</t>
  </si>
  <si>
    <t>Iepirkumu skaits zem ES līgumcenu sliekšņa</t>
  </si>
  <si>
    <t>Kopējā līgumcenu summa virs ES līgumcenu sliekšņa (EUR) bez PVN</t>
  </si>
  <si>
    <t>Kopējā līgumcenu summa zem ES līgumcenu sliekšņa (EUR) bez PVN</t>
  </si>
  <si>
    <t>Vidējā līgumcena (EUR) bez PVN</t>
  </si>
  <si>
    <t>Centralizētie</t>
  </si>
  <si>
    <t>Decentralizētie</t>
  </si>
  <si>
    <t xml:space="preserve">Vidējā līgumcena </t>
  </si>
  <si>
    <t>ES dalībvalstis</t>
  </si>
  <si>
    <t>Centra-lizētie</t>
  </si>
  <si>
    <t>Decentra-lizētie</t>
  </si>
  <si>
    <t>Kopējā līgum-cenu summa (EUR) bez PVN</t>
  </si>
  <si>
    <t>Iepirkumu procedūras</t>
  </si>
  <si>
    <t>Slēgts konkurss</t>
  </si>
  <si>
    <t>Sarunu procedūra</t>
  </si>
  <si>
    <t xml:space="preserve">Konkursa dialogs </t>
  </si>
  <si>
    <t>35710000-4</t>
  </si>
  <si>
    <t>35321300-3</t>
  </si>
  <si>
    <t>35410000-1</t>
  </si>
  <si>
    <t>Būvdarbi</t>
  </si>
  <si>
    <t>Piegāde</t>
  </si>
  <si>
    <t>Pakalpojumi</t>
  </si>
  <si>
    <t>Skaits</t>
  </si>
  <si>
    <t>Sarunu procedūra, nepublicējot paziņojumu par līgumu</t>
  </si>
  <si>
    <t>skaits</t>
  </si>
  <si>
    <t>6.p.(6) 5)                                 vai (Dir.§1 e))</t>
  </si>
  <si>
    <t>6.p.(6) 8)                                vai (Dir. §3 a))</t>
  </si>
  <si>
    <t>6.p.(6) 11)                               vai (Dir.§4 a))</t>
  </si>
  <si>
    <t>Aizsardzības un drošības jomas virs ES līgumcenu sliekšņa valsts sektora piemērotās iepirkumu procedūras pa gadiem</t>
  </si>
  <si>
    <t>ja tehnisku vai tādu iemeslu dēļ, kuri saistīti ar izņēmuma tiesību aizsardzību, līgumu var noslēgt tikai ar konkrētu piegādātāju;</t>
  </si>
  <si>
    <t>ja pasūtītājam nepieciešamas papildu piegādes no sākotnējā preču piegādātāja (ražotāja), lai papildinātu vai daļēji nomainītu tā rīcībā jau esošās preces vai iekārtas, jo, izvēloties citu preču piegādātāju (ražotāju), pasūtītājam vajadzētu iepirkt preces, kuras tehniski atšķirtos no tā rīcībā jau esošajām precēm, un šāda atšķirība radītu ar preču vai iekārtu uzturēšanu un ekspluatāciju saistītas grūtības. Šāda līguma, kā arī atkārtotu līgumu darbības termiņš nedrīkst pārsniegt piecus gadus. Izņēmuma gadījumā minētais termiņš drīkst būt ilgāks, ievērojot piegādājamo preču, iekārtu vai sistēmu paredzamo izmantošanas laiku, kā arī tehniskās grūtības, kas var rasties cita piegādātāja (ražotāja) izvēles gadījumā;</t>
  </si>
  <si>
    <t>ja pasūtītājam ir nepieciešami papildu būvdarbi vai pakalpojumi, kuri sākotnēji netika iekļauti līgumā vai būvniecības projektā, bet neparedzamu apstākļu dēļ kļuvuši nepieciešami iepriekš noslēgtā līguma izpildei</t>
  </si>
  <si>
    <t xml:space="preserve">6.p.(6) 5) </t>
  </si>
  <si>
    <t>6.p.(6) 8)</t>
  </si>
  <si>
    <t xml:space="preserve">6.p.(6) 11) </t>
  </si>
  <si>
    <t>Aizsardzības un drošības jomas iepirkumu likuma norādītais pants</t>
  </si>
  <si>
    <t>Pavisam kopā</t>
  </si>
  <si>
    <t xml:space="preserve">6.p.(6) 5)   </t>
  </si>
  <si>
    <t xml:space="preserve">6.p.(6) 11)     </t>
  </si>
  <si>
    <t xml:space="preserve">Aizsardzības un drošības jomas valsts sektora decentralizētie iepirkumi Latvijā, EUR  </t>
  </si>
  <si>
    <t xml:space="preserve">Aizsardzības un drošības jomas valsts sektora centralizētie iepirkumi Latvijā, EUR  </t>
  </si>
  <si>
    <t>Noslēgto līgumu līgumcenu summa (EUR) bez PVN</t>
  </si>
  <si>
    <t xml:space="preserve">Aizsardzības un drošības jomas valsts sektora iepirkumi Latvijā kopā, EUR </t>
  </si>
  <si>
    <t xml:space="preserve">Līgumcena (EUR bez PVN)  </t>
  </si>
  <si>
    <t>Aizsardzības un drošības jomas virs ES līgumcenu sliekšņa valsts sektora piemēroto sarunu procedūru, nepublicējot paziņojumu par līgumu, skaits un līgumcena pa gadiem</t>
  </si>
  <si>
    <t>Sarunu procedūru īpatsvars (%), nepublicējot paziņojumu par līgumu</t>
  </si>
  <si>
    <t>Sarunu procedūru īpatsvars (%), publicējot paziņojumu par līgumu</t>
  </si>
  <si>
    <t>Sarunu procedūru, nepublicējot paziņojumu par līgumu, skaita un līgumcenas procentuālais sadalījums pēc piemērotā likuma panta</t>
  </si>
  <si>
    <t>Aizsardzības un drošības jomas valsts sektora virs ES līgumcenu sliekšņa iepirkumu veidi pēc CPV klasifikatora, pa gadiem</t>
  </si>
  <si>
    <t>Sarunu procedūras, kopā</t>
  </si>
  <si>
    <t xml:space="preserve">t.sk. sarunu procedūras, nepublicējot paziņojumu par līgumu </t>
  </si>
  <si>
    <t>Sarunu procedūras, nepublicējot paziņojumu par līgumu īpatsvars (%)</t>
  </si>
  <si>
    <t>Sarunu procedūras, nepublicējot paziņojumu par līgumu</t>
  </si>
  <si>
    <t>2016.gads</t>
  </si>
  <si>
    <t>Vācija</t>
  </si>
  <si>
    <t>Austrija</t>
  </si>
  <si>
    <t>Somija</t>
  </si>
  <si>
    <t>pakalpojumi</t>
  </si>
  <si>
    <t>35341000-6</t>
  </si>
  <si>
    <t>35340000-9</t>
  </si>
  <si>
    <t>48900000-7</t>
  </si>
  <si>
    <t>38633000-1</t>
  </si>
  <si>
    <t>32352000-5</t>
  </si>
  <si>
    <t>50333000-8</t>
  </si>
  <si>
    <t>35310000-0</t>
  </si>
  <si>
    <t>48000000-8</t>
  </si>
  <si>
    <t>38000000-5</t>
  </si>
  <si>
    <t>2017.gads</t>
  </si>
  <si>
    <t>Aizsardzības un drošības jomas valsts sektora virs ES līgumcenu sliekšņa iepirkumu skaita dinamika no 2012. līdz 2017.gadam</t>
  </si>
  <si>
    <t>2017,gads</t>
  </si>
  <si>
    <t>Polija</t>
  </si>
  <si>
    <t>Dānija</t>
  </si>
  <si>
    <t>Izraēla</t>
  </si>
  <si>
    <t xml:space="preserve">Lielbritānija </t>
  </si>
  <si>
    <t>6.p.(6) 4)                                 vai (Dir.§1 d))</t>
  </si>
  <si>
    <t xml:space="preserve">6.p.(6) 4) </t>
  </si>
  <si>
    <t>ja pasūtītājam neparedzamu ārkārtas apstākļu (piemēram, dabas katastrofas vai avārijas) rezultātā objektīvi radusies situācija, kurā steidzamības dēļ nav iespējams piemērot slēgtu konkursu vai sarunu procedūru, publicējot paziņojumu par līgumu, arī tad, ja pasūtītājs izmanto visas šajā likumā noteiktās pieteikumu un piedāvājumu iesniegšanas termiņu saīsināšanas iespējas, — ciktāl tas ir nepieciešams, lai novērstu ārkārtas situāciju. Minētie apstākļi, kas pamato ārkārtas situāciju, nedrīkst būt atkarīgi no pasūtītāja rīcības;</t>
  </si>
  <si>
    <t>6.p.(6) 11)                               vai (Dir.§4a))</t>
  </si>
  <si>
    <t xml:space="preserve">6.p.(6) 4)   </t>
  </si>
  <si>
    <t>42000000-6</t>
  </si>
  <si>
    <t>35812200-1</t>
  </si>
  <si>
    <t>34300000-0</t>
  </si>
  <si>
    <t>34000000-7</t>
  </si>
  <si>
    <t>35331200-5</t>
  </si>
  <si>
    <t>34152000-7</t>
  </si>
  <si>
    <t>35300000-7</t>
  </si>
  <si>
    <t>35721000-4</t>
  </si>
  <si>
    <t>35321100-1</t>
  </si>
  <si>
    <t>38632000-4</t>
  </si>
  <si>
    <t>35320000-3</t>
  </si>
  <si>
    <t>35740000-3</t>
  </si>
  <si>
    <t>64200000-8</t>
  </si>
  <si>
    <t>64000000-6</t>
  </si>
  <si>
    <t>Akumulatori, galvaniskie elementi un galvaniskās baterijas</t>
  </si>
  <si>
    <t>Radiostacijas</t>
  </si>
  <si>
    <t>Mācību simulatori</t>
  </si>
  <si>
    <t>Detaļas un piederumi transportlīdzekļiem un to dzinējiem</t>
  </si>
  <si>
    <t>Ieroči, munīcija un to daļas</t>
  </si>
  <si>
    <t>Policistu formas tērpi</t>
  </si>
  <si>
    <t>35812200-4</t>
  </si>
  <si>
    <t>Nakts redzamības brilles</t>
  </si>
  <si>
    <t>Ražošanas iekārtas</t>
  </si>
  <si>
    <t>Helikopteru remonta un tehniskās apkopes pakalpojumi</t>
  </si>
  <si>
    <t>Telekomunikāciju pakalpojumi</t>
  </si>
  <si>
    <t>35700000-1</t>
  </si>
  <si>
    <t>Militārās elektroniskās sistēmas.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</si>
</sst>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 x14ac:knownFonts="1">
    <font>
      <sz val="11"/>
      <color theme="1"/>
      <name val="Calibri"/>
      <family val="2"/>
      <charset val="186"/>
      <scheme val="minor"/>
    </font>
    <font>
      <b/>
      <sz val="11"/>
      <color theme="1"/>
      <name val="Calibri"/>
      <family val="2"/>
      <charset val="186"/>
      <scheme val="minor"/>
    </font>
    <font>
      <b/>
      <i/>
      <sz val="11"/>
      <color theme="1"/>
      <name val="Calibri"/>
      <family val="2"/>
      <charset val="186"/>
      <scheme val="minor"/>
    </font>
    <font>
      <b/>
      <sz val="12"/>
      <color theme="1"/>
      <name val="Calibri"/>
      <family val="2"/>
      <charset val="186"/>
      <scheme val="minor"/>
    </font>
    <font>
      <sz val="11"/>
      <color theme="1"/>
      <name val="Calibri"/>
      <family val="2"/>
      <charset val="186"/>
    </font>
  </fonts>
  <fills count="1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FF7575"/>
        <bgColor indexed="64"/>
      </patternFill>
    </fill>
    <fill>
      <patternFill patternType="solid">
        <fgColor rgb="FFADC19F"/>
        <bgColor indexed="64"/>
      </patternFill>
    </fill>
    <fill>
      <patternFill patternType="solid">
        <fgColor theme="8" tint="0.59999389629810485"/>
        <bgColor indexed="64"/>
      </patternFill>
    </fill>
    <fill>
      <patternFill patternType="solid">
        <fgColor rgb="FFFFB3B3"/>
        <bgColor indexed="64"/>
      </patternFill>
    </fill>
    <fill>
      <patternFill patternType="solid">
        <fgColor rgb="FFFF1919"/>
        <bgColor indexed="64"/>
      </patternFill>
    </fill>
    <fill>
      <patternFill patternType="solid">
        <fgColor theme="8" tint="0.79998168889431442"/>
        <bgColor indexed="64"/>
      </patternFill>
    </fill>
    <fill>
      <patternFill patternType="solid">
        <fgColor rgb="FFFFCC99"/>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0000"/>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
      <left/>
      <right style="thick">
        <color indexed="64"/>
      </right>
      <top/>
      <bottom style="thin">
        <color indexed="64"/>
      </bottom>
      <diagonal/>
    </border>
  </borders>
  <cellStyleXfs count="1">
    <xf numFmtId="0" fontId="0" fillId="0" borderId="0"/>
  </cellStyleXfs>
  <cellXfs count="233">
    <xf numFmtId="0" fontId="0" fillId="0" borderId="0" xfId="0"/>
    <xf numFmtId="0" fontId="1" fillId="0" borderId="0" xfId="0" applyFont="1"/>
    <xf numFmtId="0" fontId="0" fillId="0" borderId="1" xfId="0" applyBorder="1"/>
    <xf numFmtId="0" fontId="0" fillId="0" borderId="1" xfId="0" applyBorder="1" applyAlignment="1">
      <alignment horizontal="right"/>
    </xf>
    <xf numFmtId="3" fontId="0" fillId="0" borderId="1" xfId="0" applyNumberFormat="1" applyBorder="1" applyAlignment="1">
      <alignment horizontal="right"/>
    </xf>
    <xf numFmtId="3" fontId="0" fillId="0" borderId="1" xfId="0" applyNumberFormat="1" applyBorder="1"/>
    <xf numFmtId="0" fontId="0" fillId="0" borderId="6" xfId="0" applyBorder="1"/>
    <xf numFmtId="0" fontId="0" fillId="0" borderId="6" xfId="0" applyBorder="1" applyAlignment="1">
      <alignment horizontal="right" wrapText="1"/>
    </xf>
    <xf numFmtId="0" fontId="0" fillId="0" borderId="6" xfId="0" applyBorder="1" applyAlignment="1">
      <alignment horizontal="right"/>
    </xf>
    <xf numFmtId="3" fontId="0" fillId="0" borderId="6" xfId="0" applyNumberFormat="1" applyBorder="1" applyAlignment="1">
      <alignment horizontal="right" wrapText="1"/>
    </xf>
    <xf numFmtId="3" fontId="0" fillId="0" borderId="6" xfId="0" applyNumberFormat="1" applyBorder="1" applyAlignment="1">
      <alignment horizontal="right"/>
    </xf>
    <xf numFmtId="0" fontId="0" fillId="0" borderId="5" xfId="0" applyBorder="1"/>
    <xf numFmtId="0" fontId="0" fillId="0" borderId="5" xfId="0" applyBorder="1" applyAlignment="1">
      <alignment horizontal="center" wrapText="1"/>
    </xf>
    <xf numFmtId="0" fontId="0" fillId="0" borderId="5" xfId="0" applyBorder="1" applyAlignment="1">
      <alignment horizontal="center"/>
    </xf>
    <xf numFmtId="3" fontId="0" fillId="0" borderId="0" xfId="0" applyNumberFormat="1" applyFill="1" applyBorder="1" applyAlignment="1">
      <alignment horizontal="right"/>
    </xf>
    <xf numFmtId="0" fontId="0" fillId="0" borderId="9" xfId="0" applyBorder="1" applyAlignment="1">
      <alignment wrapText="1"/>
    </xf>
    <xf numFmtId="0" fontId="2" fillId="2" borderId="6" xfId="0" applyFont="1" applyFill="1" applyBorder="1" applyAlignment="1">
      <alignment horizontal="right"/>
    </xf>
    <xf numFmtId="3" fontId="0" fillId="0" borderId="6" xfId="0" applyNumberFormat="1" applyBorder="1" applyAlignment="1">
      <alignment wrapText="1"/>
    </xf>
    <xf numFmtId="3" fontId="0" fillId="0" borderId="6" xfId="0" applyNumberFormat="1" applyBorder="1"/>
    <xf numFmtId="3" fontId="0" fillId="0" borderId="11" xfId="0" applyNumberFormat="1" applyBorder="1"/>
    <xf numFmtId="3" fontId="0" fillId="0" borderId="14" xfId="0" applyNumberFormat="1" applyBorder="1"/>
    <xf numFmtId="3" fontId="0" fillId="0" borderId="5" xfId="0" applyNumberFormat="1" applyBorder="1" applyAlignment="1">
      <alignment wrapText="1"/>
    </xf>
    <xf numFmtId="3" fontId="0" fillId="0" borderId="5" xfId="0" applyNumberFormat="1" applyBorder="1"/>
    <xf numFmtId="3" fontId="0" fillId="0" borderId="12" xfId="0" applyNumberFormat="1" applyBorder="1"/>
    <xf numFmtId="3" fontId="0" fillId="0" borderId="15" xfId="0" applyNumberFormat="1" applyBorder="1"/>
    <xf numFmtId="3" fontId="2" fillId="2" borderId="6" xfId="0" applyNumberFormat="1" applyFont="1" applyFill="1" applyBorder="1" applyAlignment="1">
      <alignment wrapText="1"/>
    </xf>
    <xf numFmtId="3" fontId="2" fillId="2" borderId="6" xfId="0" applyNumberFormat="1" applyFont="1" applyFill="1" applyBorder="1"/>
    <xf numFmtId="3" fontId="2" fillId="2" borderId="11" xfId="0" applyNumberFormat="1" applyFont="1" applyFill="1" applyBorder="1"/>
    <xf numFmtId="3" fontId="2" fillId="2" borderId="14" xfId="0" applyNumberFormat="1" applyFont="1" applyFill="1" applyBorder="1"/>
    <xf numFmtId="3" fontId="0" fillId="0" borderId="1" xfId="0" applyNumberFormat="1" applyBorder="1" applyAlignment="1">
      <alignment wrapText="1"/>
    </xf>
    <xf numFmtId="3" fontId="0" fillId="0" borderId="2" xfId="0" applyNumberFormat="1" applyBorder="1"/>
    <xf numFmtId="3" fontId="0" fillId="0" borderId="10" xfId="0" applyNumberFormat="1" applyBorder="1"/>
    <xf numFmtId="3" fontId="0" fillId="0" borderId="12" xfId="0" applyNumberFormat="1" applyBorder="1" applyAlignment="1">
      <alignment wrapText="1"/>
    </xf>
    <xf numFmtId="3" fontId="0" fillId="0" borderId="23" xfId="0" applyNumberFormat="1" applyBorder="1"/>
    <xf numFmtId="3" fontId="0" fillId="0" borderId="24" xfId="0" applyNumberFormat="1" applyBorder="1"/>
    <xf numFmtId="3" fontId="2" fillId="2" borderId="23" xfId="0" applyNumberFormat="1" applyFont="1" applyFill="1" applyBorder="1"/>
    <xf numFmtId="3" fontId="0" fillId="0" borderId="4" xfId="0" applyNumberFormat="1" applyBorder="1"/>
    <xf numFmtId="3" fontId="0" fillId="0" borderId="24" xfId="0" applyNumberFormat="1" applyBorder="1" applyAlignment="1">
      <alignment wrapText="1"/>
    </xf>
    <xf numFmtId="164" fontId="0" fillId="0" borderId="0" xfId="0" applyNumberFormat="1"/>
    <xf numFmtId="0" fontId="0" fillId="0" borderId="11" xfId="0" applyBorder="1"/>
    <xf numFmtId="0" fontId="0" fillId="0" borderId="2" xfId="0" applyBorder="1"/>
    <xf numFmtId="164" fontId="0" fillId="4" borderId="25" xfId="0" applyNumberFormat="1" applyFill="1" applyBorder="1"/>
    <xf numFmtId="164" fontId="0" fillId="0" borderId="26" xfId="0" applyNumberFormat="1" applyBorder="1"/>
    <xf numFmtId="164" fontId="0" fillId="4" borderId="27" xfId="0" applyNumberFormat="1" applyFill="1" applyBorder="1"/>
    <xf numFmtId="164" fontId="0" fillId="0" borderId="28" xfId="0" applyNumberFormat="1" applyBorder="1"/>
    <xf numFmtId="0" fontId="0" fillId="0" borderId="5" xfId="0" applyFill="1" applyBorder="1" applyAlignment="1">
      <alignment horizontal="center" wrapText="1"/>
    </xf>
    <xf numFmtId="0" fontId="0" fillId="0" borderId="8" xfId="0" applyBorder="1" applyAlignment="1">
      <alignment horizontal="center" wrapText="1"/>
    </xf>
    <xf numFmtId="0" fontId="0" fillId="0" borderId="29" xfId="0" applyBorder="1"/>
    <xf numFmtId="0" fontId="0" fillId="0" borderId="1" xfId="0" applyBorder="1" applyAlignment="1">
      <alignment horizontal="center" wrapText="1"/>
    </xf>
    <xf numFmtId="165" fontId="0" fillId="0" borderId="6" xfId="0" applyNumberFormat="1" applyBorder="1"/>
    <xf numFmtId="165" fontId="0" fillId="0" borderId="1" xfId="0" applyNumberFormat="1" applyBorder="1"/>
    <xf numFmtId="164" fontId="0" fillId="0" borderId="1" xfId="0" applyNumberFormat="1" applyBorder="1"/>
    <xf numFmtId="164" fontId="0" fillId="0" borderId="6" xfId="0" applyNumberFormat="1" applyBorder="1"/>
    <xf numFmtId="164" fontId="0" fillId="3" borderId="6" xfId="0" applyNumberFormat="1" applyFill="1" applyBorder="1"/>
    <xf numFmtId="164" fontId="0" fillId="3" borderId="1" xfId="0" applyNumberFormat="1" applyFill="1" applyBorder="1"/>
    <xf numFmtId="3" fontId="0" fillId="3" borderId="1" xfId="0" applyNumberFormat="1" applyFill="1" applyBorder="1"/>
    <xf numFmtId="3" fontId="0" fillId="3" borderId="6" xfId="0" applyNumberFormat="1" applyFill="1" applyBorder="1"/>
    <xf numFmtId="0" fontId="0" fillId="0" borderId="5" xfId="0" applyFill="1" applyBorder="1"/>
    <xf numFmtId="0" fontId="0" fillId="0" borderId="5" xfId="0" applyBorder="1" applyAlignment="1">
      <alignment wrapText="1"/>
    </xf>
    <xf numFmtId="0" fontId="0" fillId="0" borderId="9" xfId="0" applyBorder="1" applyAlignment="1">
      <alignment textRotation="90" wrapText="1"/>
    </xf>
    <xf numFmtId="0" fontId="0" fillId="0" borderId="13" xfId="0" applyBorder="1" applyAlignment="1">
      <alignment textRotation="90" wrapText="1"/>
    </xf>
    <xf numFmtId="3" fontId="0" fillId="0" borderId="30" xfId="0" applyNumberFormat="1" applyBorder="1"/>
    <xf numFmtId="3" fontId="2" fillId="2" borderId="31" xfId="0" applyNumberFormat="1" applyFont="1" applyFill="1" applyBorder="1"/>
    <xf numFmtId="0" fontId="0" fillId="8" borderId="1" xfId="0" applyFill="1" applyBorder="1"/>
    <xf numFmtId="0" fontId="0" fillId="9" borderId="1" xfId="0" applyFill="1" applyBorder="1"/>
    <xf numFmtId="0" fontId="0" fillId="10" borderId="1" xfId="0" applyFill="1" applyBorder="1"/>
    <xf numFmtId="0" fontId="1" fillId="0" borderId="1" xfId="0" applyFont="1" applyBorder="1"/>
    <xf numFmtId="0" fontId="0" fillId="0" borderId="1" xfId="0" applyBorder="1" applyAlignment="1">
      <alignment textRotation="90" wrapText="1"/>
    </xf>
    <xf numFmtId="0" fontId="0" fillId="0" borderId="1" xfId="0" applyBorder="1" applyAlignment="1">
      <alignment wrapText="1"/>
    </xf>
    <xf numFmtId="0" fontId="0" fillId="6" borderId="1" xfId="0" applyFill="1" applyBorder="1"/>
    <xf numFmtId="0" fontId="0" fillId="11" borderId="1" xfId="0" applyFill="1" applyBorder="1"/>
    <xf numFmtId="0" fontId="0" fillId="11" borderId="6" xfId="0" applyFill="1" applyBorder="1"/>
    <xf numFmtId="0" fontId="0" fillId="0" borderId="9" xfId="0" applyBorder="1"/>
    <xf numFmtId="0" fontId="0" fillId="6" borderId="9" xfId="0" applyFill="1" applyBorder="1"/>
    <xf numFmtId="3" fontId="0" fillId="0" borderId="9" xfId="0" applyNumberFormat="1" applyBorder="1"/>
    <xf numFmtId="3" fontId="0" fillId="0" borderId="0" xfId="0" applyNumberFormat="1"/>
    <xf numFmtId="3" fontId="0" fillId="0" borderId="0" xfId="0" applyNumberFormat="1" applyBorder="1"/>
    <xf numFmtId="164" fontId="0" fillId="0" borderId="0" xfId="0" applyNumberFormat="1" applyBorder="1"/>
    <xf numFmtId="0" fontId="0" fillId="0" borderId="0" xfId="0" applyBorder="1"/>
    <xf numFmtId="3" fontId="1" fillId="12" borderId="1" xfId="0" applyNumberFormat="1" applyFont="1" applyFill="1" applyBorder="1"/>
    <xf numFmtId="0" fontId="3" fillId="0" borderId="0" xfId="0" applyFont="1"/>
    <xf numFmtId="0" fontId="0" fillId="0" borderId="1" xfId="0" applyFill="1" applyBorder="1"/>
    <xf numFmtId="0" fontId="0" fillId="0" borderId="5" xfId="0" applyBorder="1" applyAlignment="1">
      <alignment horizontal="center"/>
    </xf>
    <xf numFmtId="3" fontId="0" fillId="0" borderId="11" xfId="0" applyNumberFormat="1" applyBorder="1" applyAlignment="1">
      <alignment horizontal="right"/>
    </xf>
    <xf numFmtId="3" fontId="0" fillId="0" borderId="2" xfId="0" applyNumberFormat="1" applyBorder="1" applyAlignment="1">
      <alignment horizontal="right"/>
    </xf>
    <xf numFmtId="0" fontId="2" fillId="12" borderId="6" xfId="0" applyFont="1" applyFill="1" applyBorder="1" applyAlignment="1">
      <alignment horizontal="right"/>
    </xf>
    <xf numFmtId="3" fontId="2" fillId="12" borderId="6" xfId="0" applyNumberFormat="1" applyFont="1" applyFill="1" applyBorder="1"/>
    <xf numFmtId="3" fontId="2" fillId="12" borderId="6" xfId="0" applyNumberFormat="1" applyFont="1" applyFill="1" applyBorder="1" applyAlignment="1">
      <alignment horizontal="right" wrapText="1"/>
    </xf>
    <xf numFmtId="0" fontId="2" fillId="12" borderId="6" xfId="0" applyFont="1" applyFill="1" applyBorder="1"/>
    <xf numFmtId="0" fontId="2" fillId="12" borderId="11" xfId="0" applyFont="1" applyFill="1" applyBorder="1"/>
    <xf numFmtId="3" fontId="0" fillId="0" borderId="9" xfId="0" applyNumberFormat="1" applyBorder="1" applyAlignment="1">
      <alignment horizontal="right" wrapText="1"/>
    </xf>
    <xf numFmtId="3" fontId="2" fillId="12" borderId="11" xfId="0" applyNumberFormat="1" applyFont="1" applyFill="1" applyBorder="1"/>
    <xf numFmtId="3" fontId="0" fillId="13" borderId="9" xfId="0" applyNumberFormat="1" applyFill="1" applyBorder="1"/>
    <xf numFmtId="0" fontId="0" fillId="0" borderId="5" xfId="0" applyBorder="1" applyAlignment="1">
      <alignment horizontal="center" vertical="center"/>
    </xf>
    <xf numFmtId="0" fontId="0" fillId="0" borderId="5" xfId="0" applyFill="1" applyBorder="1" applyAlignment="1">
      <alignment horizontal="center" vertical="center"/>
    </xf>
    <xf numFmtId="0" fontId="0" fillId="12" borderId="6" xfId="0" applyFill="1" applyBorder="1"/>
    <xf numFmtId="0" fontId="0" fillId="0" borderId="12" xfId="0" applyBorder="1"/>
    <xf numFmtId="0" fontId="0" fillId="0" borderId="24" xfId="0" applyBorder="1"/>
    <xf numFmtId="0" fontId="1" fillId="0" borderId="1" xfId="0" applyFont="1" applyBorder="1" applyAlignment="1">
      <alignment horizontal="right"/>
    </xf>
    <xf numFmtId="3" fontId="0" fillId="12" borderId="1" xfId="0" applyNumberFormat="1" applyFill="1" applyBorder="1"/>
    <xf numFmtId="0" fontId="1" fillId="0" borderId="1" xfId="0" applyFont="1" applyFill="1" applyBorder="1" applyAlignment="1">
      <alignment horizontal="right"/>
    </xf>
    <xf numFmtId="0" fontId="0" fillId="12" borderId="1" xfId="0" applyFill="1" applyBorder="1"/>
    <xf numFmtId="3" fontId="1" fillId="0" borderId="1" xfId="0" applyNumberFormat="1" applyFont="1" applyBorder="1"/>
    <xf numFmtId="3" fontId="0" fillId="12" borderId="2" xfId="0" applyNumberFormat="1" applyFill="1" applyBorder="1"/>
    <xf numFmtId="3" fontId="1" fillId="12" borderId="2" xfId="0" applyNumberFormat="1" applyFont="1" applyFill="1" applyBorder="1"/>
    <xf numFmtId="0" fontId="0" fillId="12" borderId="14" xfId="0" applyFill="1" applyBorder="1"/>
    <xf numFmtId="0" fontId="0" fillId="12" borderId="10" xfId="0" applyFill="1" applyBorder="1"/>
    <xf numFmtId="3" fontId="1" fillId="0" borderId="10" xfId="0" applyNumberFormat="1" applyFont="1" applyBorder="1"/>
    <xf numFmtId="0" fontId="0" fillId="0" borderId="5" xfId="0" applyBorder="1" applyAlignment="1">
      <alignment horizontal="center" vertical="center" wrapText="1"/>
    </xf>
    <xf numFmtId="0" fontId="0" fillId="0" borderId="5" xfId="0" applyBorder="1" applyAlignment="1">
      <alignment horizontal="center"/>
    </xf>
    <xf numFmtId="0" fontId="0" fillId="0" borderId="0" xfId="0" applyBorder="1" applyAlignment="1">
      <alignment horizontal="center"/>
    </xf>
    <xf numFmtId="0" fontId="0" fillId="0" borderId="15" xfId="0" applyFill="1" applyBorder="1" applyAlignment="1">
      <alignment horizontal="center" vertical="center"/>
    </xf>
    <xf numFmtId="0" fontId="0" fillId="0" borderId="1" xfId="0" applyBorder="1" applyAlignment="1">
      <alignment wrapText="1"/>
    </xf>
    <xf numFmtId="0" fontId="0" fillId="0" borderId="32" xfId="0" applyBorder="1"/>
    <xf numFmtId="164" fontId="0" fillId="4" borderId="1" xfId="0" applyNumberFormat="1" applyFill="1" applyBorder="1"/>
    <xf numFmtId="165" fontId="0" fillId="0" borderId="7" xfId="0" applyNumberFormat="1" applyBorder="1"/>
    <xf numFmtId="0" fontId="0" fillId="2" borderId="1" xfId="0" applyFill="1" applyBorder="1"/>
    <xf numFmtId="0" fontId="0" fillId="3" borderId="6" xfId="0" applyFill="1" applyBorder="1"/>
    <xf numFmtId="0" fontId="0" fillId="3" borderId="1" xfId="0" applyFill="1" applyBorder="1"/>
    <xf numFmtId="0" fontId="0" fillId="14" borderId="6" xfId="0" applyFill="1" applyBorder="1"/>
    <xf numFmtId="0" fontId="0" fillId="14" borderId="1" xfId="0" applyFill="1" applyBorder="1"/>
    <xf numFmtId="3" fontId="0" fillId="14" borderId="6" xfId="0" applyNumberFormat="1" applyFill="1" applyBorder="1"/>
    <xf numFmtId="3" fontId="0" fillId="14" borderId="1" xfId="0" applyNumberFormat="1" applyFill="1" applyBorder="1"/>
    <xf numFmtId="164" fontId="0" fillId="14" borderId="6" xfId="0" applyNumberFormat="1" applyFill="1" applyBorder="1"/>
    <xf numFmtId="164" fontId="0" fillId="14" borderId="1" xfId="0" applyNumberFormat="1" applyFill="1" applyBorder="1"/>
    <xf numFmtId="3" fontId="0" fillId="0" borderId="34" xfId="0" applyNumberFormat="1" applyBorder="1"/>
    <xf numFmtId="3" fontId="0" fillId="0" borderId="3" xfId="0" applyNumberFormat="1" applyBorder="1"/>
    <xf numFmtId="3" fontId="0" fillId="0" borderId="35" xfId="0" applyNumberFormat="1" applyBorder="1"/>
    <xf numFmtId="3" fontId="0" fillId="0" borderId="29" xfId="0" applyNumberFormat="1" applyBorder="1"/>
    <xf numFmtId="3" fontId="2" fillId="2" borderId="36" xfId="0" applyNumberFormat="1" applyFont="1" applyFill="1" applyBorder="1"/>
    <xf numFmtId="3" fontId="2" fillId="2" borderId="22" xfId="0" applyNumberFormat="1" applyFont="1" applyFill="1" applyBorder="1"/>
    <xf numFmtId="3" fontId="0" fillId="0" borderId="7" xfId="0" applyNumberFormat="1" applyBorder="1"/>
    <xf numFmtId="0" fontId="0" fillId="0" borderId="1" xfId="0" applyBorder="1" applyAlignment="1">
      <alignment wrapText="1"/>
    </xf>
    <xf numFmtId="0" fontId="1" fillId="12" borderId="3" xfId="0" applyFont="1" applyFill="1" applyBorder="1" applyAlignment="1">
      <alignment horizontal="right"/>
    </xf>
    <xf numFmtId="0" fontId="0" fillId="0" borderId="0" xfId="0" applyFill="1" applyBorder="1"/>
    <xf numFmtId="0" fontId="0" fillId="0" borderId="7" xfId="0" applyFill="1" applyBorder="1"/>
    <xf numFmtId="164" fontId="0" fillId="4" borderId="7" xfId="0" applyNumberFormat="1" applyFill="1" applyBorder="1"/>
    <xf numFmtId="164" fontId="0" fillId="0" borderId="7" xfId="0" applyNumberFormat="1" applyBorder="1"/>
    <xf numFmtId="0" fontId="0" fillId="13" borderId="1" xfId="0" applyFill="1" applyBorder="1"/>
    <xf numFmtId="0" fontId="0" fillId="13" borderId="9" xfId="0" applyFill="1" applyBorder="1"/>
    <xf numFmtId="0" fontId="0" fillId="13" borderId="6" xfId="0" applyFill="1" applyBorder="1"/>
    <xf numFmtId="0" fontId="0" fillId="0" borderId="5" xfId="0"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left" vertical="center" wrapText="1"/>
    </xf>
    <xf numFmtId="0" fontId="0" fillId="15" borderId="1" xfId="0" applyFill="1" applyBorder="1"/>
    <xf numFmtId="0" fontId="0" fillId="16" borderId="1" xfId="0" applyFill="1" applyBorder="1"/>
    <xf numFmtId="0" fontId="1" fillId="16" borderId="1" xfId="0" applyFont="1" applyFill="1" applyBorder="1"/>
    <xf numFmtId="3" fontId="1" fillId="16" borderId="1" xfId="0" applyNumberFormat="1" applyFont="1" applyFill="1" applyBorder="1"/>
    <xf numFmtId="3" fontId="0" fillId="13" borderId="1" xfId="0" applyNumberFormat="1" applyFill="1" applyBorder="1"/>
    <xf numFmtId="3" fontId="0" fillId="13" borderId="6" xfId="0" applyNumberFormat="1" applyFill="1" applyBorder="1"/>
    <xf numFmtId="3" fontId="1" fillId="12" borderId="3" xfId="0" applyNumberFormat="1" applyFont="1" applyFill="1" applyBorder="1" applyAlignment="1">
      <alignment horizontal="right"/>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6" borderId="2" xfId="0" applyFill="1" applyBorder="1" applyAlignment="1">
      <alignment horizontal="center"/>
    </xf>
    <xf numFmtId="0" fontId="0" fillId="6" borderId="4" xfId="0" applyFill="1" applyBorder="1" applyAlignment="1">
      <alignment horizontal="center"/>
    </xf>
    <xf numFmtId="0" fontId="0" fillId="6" borderId="3" xfId="0" applyFill="1" applyBorder="1" applyAlignment="1">
      <alignment horizontal="center"/>
    </xf>
    <xf numFmtId="0" fontId="0" fillId="7" borderId="1" xfId="0" applyFill="1" applyBorder="1" applyAlignment="1">
      <alignment horizontal="center"/>
    </xf>
    <xf numFmtId="0" fontId="0" fillId="7" borderId="2" xfId="0" applyFill="1" applyBorder="1" applyAlignment="1">
      <alignment horizontal="center"/>
    </xf>
    <xf numFmtId="0" fontId="0" fillId="0" borderId="23" xfId="0" applyBorder="1" applyAlignment="1">
      <alignment horizontal="center"/>
    </xf>
    <xf numFmtId="0" fontId="0" fillId="0" borderId="7"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0" fillId="0" borderId="17" xfId="0" applyBorder="1" applyAlignment="1">
      <alignment horizontal="center"/>
    </xf>
    <xf numFmtId="0" fontId="0" fillId="0" borderId="18" xfId="0" applyBorder="1" applyAlignment="1">
      <alignment horizontal="center"/>
    </xf>
    <xf numFmtId="0" fontId="0" fillId="0" borderId="16" xfId="0" applyBorder="1" applyAlignment="1">
      <alignment horizontal="center" wrapText="1"/>
    </xf>
    <xf numFmtId="0" fontId="0" fillId="0" borderId="6" xfId="0" applyBorder="1" applyAlignment="1">
      <alignment horizontal="center" wrapText="1"/>
    </xf>
    <xf numFmtId="0" fontId="1" fillId="0" borderId="0" xfId="0" applyFont="1" applyAlignment="1">
      <alignment horizontal="center"/>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6" xfId="0" applyFont="1" applyBorder="1" applyAlignment="1">
      <alignment horizontal="left" wrapText="1"/>
    </xf>
    <xf numFmtId="0" fontId="0" fillId="0" borderId="11" xfId="0" applyBorder="1" applyAlignment="1">
      <alignment horizontal="left" wrapText="1"/>
    </xf>
    <xf numFmtId="0" fontId="0" fillId="0" borderId="23" xfId="0" applyBorder="1" applyAlignment="1">
      <alignment horizontal="left" wrapText="1"/>
    </xf>
    <xf numFmtId="0" fontId="0" fillId="0" borderId="22" xfId="0" applyBorder="1" applyAlignment="1">
      <alignment horizontal="left"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xf>
    <xf numFmtId="0" fontId="0" fillId="0" borderId="33" xfId="0" applyBorder="1" applyAlignment="1">
      <alignment horizontal="center"/>
    </xf>
    <xf numFmtId="0" fontId="0" fillId="0" borderId="6" xfId="0" applyBorder="1" applyAlignment="1">
      <alignment horizontal="center"/>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4" fillId="0" borderId="1" xfId="0" applyFont="1" applyBorder="1" applyAlignment="1">
      <alignment horizontal="center" wrapText="1"/>
    </xf>
    <xf numFmtId="0" fontId="1" fillId="0" borderId="0" xfId="0" applyFont="1" applyAlignment="1">
      <alignment horizontal="center" wrapText="1"/>
    </xf>
    <xf numFmtId="0" fontId="0" fillId="0" borderId="11" xfId="0" applyBorder="1" applyAlignment="1">
      <alignment horizontal="center" vertical="center" wrapText="1"/>
    </xf>
    <xf numFmtId="0" fontId="0" fillId="0" borderId="22" xfId="0" applyBorder="1" applyAlignment="1">
      <alignment horizontal="center" vertical="center" wrapText="1"/>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1" fillId="0" borderId="11" xfId="0" applyFont="1" applyBorder="1" applyAlignment="1">
      <alignment horizontal="center" wrapText="1"/>
    </xf>
    <xf numFmtId="0" fontId="1" fillId="0" borderId="23" xfId="0" applyFont="1" applyBorder="1" applyAlignment="1">
      <alignment horizontal="center" wrapText="1"/>
    </xf>
    <xf numFmtId="0" fontId="4" fillId="0" borderId="6" xfId="0" applyFont="1" applyBorder="1" applyAlignment="1">
      <alignment horizontal="center" wrapText="1"/>
    </xf>
    <xf numFmtId="0" fontId="4" fillId="0" borderId="11" xfId="0" applyFont="1" applyBorder="1" applyAlignment="1">
      <alignment horizontal="center" wrapText="1"/>
    </xf>
    <xf numFmtId="0" fontId="4" fillId="0" borderId="22" xfId="0" applyFont="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wrapText="1"/>
    </xf>
    <xf numFmtId="0" fontId="4" fillId="0" borderId="37" xfId="0" applyFont="1" applyBorder="1" applyAlignment="1">
      <alignment horizontal="center" wrapText="1"/>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1" fillId="12" borderId="2" xfId="0" applyFont="1" applyFill="1" applyBorder="1" applyAlignment="1">
      <alignment horizontal="right"/>
    </xf>
    <xf numFmtId="0" fontId="1" fillId="12" borderId="3" xfId="0" applyFont="1" applyFill="1" applyBorder="1" applyAlignment="1">
      <alignment horizontal="right"/>
    </xf>
    <xf numFmtId="0" fontId="0" fillId="0" borderId="6"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wrapText="1"/>
    </xf>
    <xf numFmtId="0" fontId="0" fillId="0" borderId="1" xfId="0" applyBorder="1" applyAlignment="1">
      <alignment horizontal="left" vertical="center" wrapText="1"/>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0" fillId="0" borderId="2" xfId="0" applyBorder="1" applyAlignment="1">
      <alignment wrapText="1"/>
    </xf>
    <xf numFmtId="0" fontId="0" fillId="0" borderId="4" xfId="0" applyBorder="1" applyAlignment="1">
      <alignment wrapText="1"/>
    </xf>
    <xf numFmtId="0" fontId="0" fillId="0" borderId="3" xfId="0" applyBorder="1" applyAlignment="1">
      <alignment wrapText="1"/>
    </xf>
    <xf numFmtId="0" fontId="0" fillId="0" borderId="1" xfId="0" applyBorder="1" applyAlignment="1">
      <alignment horizontal="left"/>
    </xf>
    <xf numFmtId="0" fontId="0" fillId="0" borderId="4" xfId="0" applyBorder="1" applyAlignment="1">
      <alignment horizontal="left"/>
    </xf>
    <xf numFmtId="0" fontId="0" fillId="0" borderId="3" xfId="0" applyBorder="1" applyAlignment="1">
      <alignment horizontal="left"/>
    </xf>
  </cellXfs>
  <cellStyles count="1">
    <cellStyle name="Normal" xfId="0" builtinId="0"/>
  </cellStyles>
  <dxfs count="0"/>
  <tableStyles count="0" defaultTableStyle="TableStyleMedium2" defaultPivotStyle="PivotStyleLight16"/>
  <colors>
    <mruColors>
      <color rgb="FFADC19F"/>
      <color rgb="FFFFCC99"/>
      <color rgb="FFFFB3B3"/>
      <color rgb="FFFF8181"/>
      <color rgb="FFFF1919"/>
      <color rgb="FFFF4343"/>
      <color rgb="FF647E52"/>
      <color rgb="FFFF7575"/>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Aizsardzības un drošības jomas valsts sektora galveno</a:t>
            </a:r>
            <a:r>
              <a:rPr lang="lv-LV" baseline="0"/>
              <a:t> rādītāju diagramma pa gadiem</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3952114624415404"/>
          <c:y val="0.13464750171115678"/>
          <c:w val="0.80470425490007469"/>
          <c:h val="0.60471255261470136"/>
        </c:manualLayout>
      </c:layout>
      <c:barChart>
        <c:barDir val="col"/>
        <c:grouping val="clustered"/>
        <c:varyColors val="0"/>
        <c:ser>
          <c:idx val="0"/>
          <c:order val="0"/>
          <c:tx>
            <c:strRef>
              <c:f>Diagramma_pa_gadiem!$B$26</c:f>
              <c:strCache>
                <c:ptCount val="1"/>
                <c:pt idx="0">
                  <c:v>Iepirkumu skaits virs ES līgumcenu sliekšņa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Diagramma_pa_gadiem!$A$27:$A$32</c:f>
              <c:strCache>
                <c:ptCount val="6"/>
                <c:pt idx="0">
                  <c:v>2012.gads</c:v>
                </c:pt>
                <c:pt idx="1">
                  <c:v>2013.gads</c:v>
                </c:pt>
                <c:pt idx="2">
                  <c:v>2014.gads</c:v>
                </c:pt>
                <c:pt idx="3">
                  <c:v>2015.gads</c:v>
                </c:pt>
                <c:pt idx="4">
                  <c:v>2016.gads</c:v>
                </c:pt>
                <c:pt idx="5">
                  <c:v>2017.gads</c:v>
                </c:pt>
              </c:strCache>
            </c:strRef>
          </c:cat>
          <c:val>
            <c:numRef>
              <c:f>Diagramma_pa_gadiem!$B$27:$B$32</c:f>
              <c:numCache>
                <c:formatCode>General</c:formatCode>
                <c:ptCount val="6"/>
                <c:pt idx="0">
                  <c:v>1</c:v>
                </c:pt>
                <c:pt idx="1">
                  <c:v>2</c:v>
                </c:pt>
                <c:pt idx="2">
                  <c:v>4</c:v>
                </c:pt>
                <c:pt idx="3">
                  <c:v>11</c:v>
                </c:pt>
                <c:pt idx="4">
                  <c:v>8</c:v>
                </c:pt>
                <c:pt idx="5">
                  <c:v>18</c:v>
                </c:pt>
              </c:numCache>
            </c:numRef>
          </c:val>
          <c:extLst>
            <c:ext xmlns:c16="http://schemas.microsoft.com/office/drawing/2014/chart" uri="{C3380CC4-5D6E-409C-BE32-E72D297353CC}">
              <c16:uniqueId val="{00000000-8013-408E-A454-7F27AE0CC8C1}"/>
            </c:ext>
          </c:extLst>
        </c:ser>
        <c:ser>
          <c:idx val="1"/>
          <c:order val="1"/>
          <c:tx>
            <c:strRef>
              <c:f>Diagramma_pa_gadiem!$C$26</c:f>
              <c:strCache>
                <c:ptCount val="1"/>
                <c:pt idx="0">
                  <c:v>Iepirkumu skaits zem ES līgumcenu sliekšņa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Diagramma_pa_gadiem!$A$27:$A$32</c:f>
              <c:strCache>
                <c:ptCount val="6"/>
                <c:pt idx="0">
                  <c:v>2012.gads</c:v>
                </c:pt>
                <c:pt idx="1">
                  <c:v>2013.gads</c:v>
                </c:pt>
                <c:pt idx="2">
                  <c:v>2014.gads</c:v>
                </c:pt>
                <c:pt idx="3">
                  <c:v>2015.gads</c:v>
                </c:pt>
                <c:pt idx="4">
                  <c:v>2016.gads</c:v>
                </c:pt>
                <c:pt idx="5">
                  <c:v>2017.gads</c:v>
                </c:pt>
              </c:strCache>
            </c:strRef>
          </c:cat>
          <c:val>
            <c:numRef>
              <c:f>Diagramma_pa_gadiem!$C$27:$C$32</c:f>
              <c:numCache>
                <c:formatCode>General</c:formatCode>
                <c:ptCount val="6"/>
                <c:pt idx="0">
                  <c:v>2</c:v>
                </c:pt>
                <c:pt idx="1">
                  <c:v>18</c:v>
                </c:pt>
                <c:pt idx="2">
                  <c:v>13</c:v>
                </c:pt>
                <c:pt idx="3">
                  <c:v>27</c:v>
                </c:pt>
                <c:pt idx="4">
                  <c:v>19</c:v>
                </c:pt>
                <c:pt idx="5">
                  <c:v>18</c:v>
                </c:pt>
              </c:numCache>
            </c:numRef>
          </c:val>
          <c:extLst>
            <c:ext xmlns:c16="http://schemas.microsoft.com/office/drawing/2014/chart" uri="{C3380CC4-5D6E-409C-BE32-E72D297353CC}">
              <c16:uniqueId val="{00000001-8013-408E-A454-7F27AE0CC8C1}"/>
            </c:ext>
          </c:extLst>
        </c:ser>
        <c:dLbls>
          <c:dLblPos val="outEnd"/>
          <c:showLegendKey val="0"/>
          <c:showVal val="1"/>
          <c:showCatName val="0"/>
          <c:showSerName val="0"/>
          <c:showPercent val="0"/>
          <c:showBubbleSize val="0"/>
        </c:dLbls>
        <c:gapWidth val="219"/>
        <c:overlap val="-27"/>
        <c:axId val="379949968"/>
        <c:axId val="379948000"/>
      </c:barChart>
      <c:lineChart>
        <c:grouping val="standard"/>
        <c:varyColors val="0"/>
        <c:ser>
          <c:idx val="2"/>
          <c:order val="2"/>
          <c:tx>
            <c:strRef>
              <c:f>Diagramma_pa_gadiem!$D$26</c:f>
              <c:strCache>
                <c:ptCount val="1"/>
                <c:pt idx="0">
                  <c:v>Kopējā līgumcenu summa virs ES līgumcenu sliekšņa (EUR) bez PVN</c:v>
                </c:pt>
              </c:strCache>
            </c:strRef>
          </c:tx>
          <c:spPr>
            <a:ln w="28575" cap="rnd">
              <a:solidFill>
                <a:schemeClr val="accent3"/>
              </a:solidFill>
              <a:round/>
            </a:ln>
            <a:effectLst/>
          </c:spPr>
          <c:marker>
            <c:symbol val="none"/>
          </c:marker>
          <c:dLbls>
            <c:dLbl>
              <c:idx val="0"/>
              <c:layout>
                <c:manualLayout>
                  <c:x val="-0.12688172043010754"/>
                  <c:y val="-9.8765432098765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13-408E-A454-7F27AE0CC8C1}"/>
                </c:ext>
              </c:extLst>
            </c:dLbl>
            <c:dLbl>
              <c:idx val="1"/>
              <c:layout>
                <c:manualLayout>
                  <c:x val="-0.11612903225806455"/>
                  <c:y val="-0.11111111111111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013-408E-A454-7F27AE0CC8C1}"/>
                </c:ext>
              </c:extLst>
            </c:dLbl>
            <c:dLbl>
              <c:idx val="2"/>
              <c:layout>
                <c:manualLayout>
                  <c:x val="-9.4623655913978491E-2"/>
                  <c:y val="-0.154320987654320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013-408E-A454-7F27AE0CC8C1}"/>
                </c:ext>
              </c:extLst>
            </c:dLbl>
            <c:dLbl>
              <c:idx val="3"/>
              <c:layout>
                <c:manualLayout>
                  <c:x val="-0.18597078506547945"/>
                  <c:y val="4.66385336329878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013-408E-A454-7F27AE0CC8C1}"/>
                </c:ext>
              </c:extLst>
            </c:dLbl>
            <c:dLbl>
              <c:idx val="4"/>
              <c:layout>
                <c:manualLayout>
                  <c:x val="1.3961605584642234E-2"/>
                  <c:y val="-3.01163586584532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BE-48FC-89DE-B869394F03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Diagramma_pa_gadiem!$A$27:$A$32</c:f>
              <c:strCache>
                <c:ptCount val="6"/>
                <c:pt idx="0">
                  <c:v>2012.gads</c:v>
                </c:pt>
                <c:pt idx="1">
                  <c:v>2013.gads</c:v>
                </c:pt>
                <c:pt idx="2">
                  <c:v>2014.gads</c:v>
                </c:pt>
                <c:pt idx="3">
                  <c:v>2015.gads</c:v>
                </c:pt>
                <c:pt idx="4">
                  <c:v>2016.gads</c:v>
                </c:pt>
                <c:pt idx="5">
                  <c:v>2017.gads</c:v>
                </c:pt>
              </c:strCache>
            </c:strRef>
          </c:cat>
          <c:val>
            <c:numRef>
              <c:f>Diagramma_pa_gadiem!$D$27:$D$32</c:f>
              <c:numCache>
                <c:formatCode>#,##0</c:formatCode>
                <c:ptCount val="6"/>
                <c:pt idx="0">
                  <c:v>1210000</c:v>
                </c:pt>
                <c:pt idx="1">
                  <c:v>2667933</c:v>
                </c:pt>
                <c:pt idx="2">
                  <c:v>6305295</c:v>
                </c:pt>
                <c:pt idx="3">
                  <c:v>90414446</c:v>
                </c:pt>
                <c:pt idx="4">
                  <c:v>10843914</c:v>
                </c:pt>
                <c:pt idx="5">
                  <c:v>25855926</c:v>
                </c:pt>
              </c:numCache>
            </c:numRef>
          </c:val>
          <c:smooth val="0"/>
          <c:extLst>
            <c:ext xmlns:c16="http://schemas.microsoft.com/office/drawing/2014/chart" uri="{C3380CC4-5D6E-409C-BE32-E72D297353CC}">
              <c16:uniqueId val="{00000002-8013-408E-A454-7F27AE0CC8C1}"/>
            </c:ext>
          </c:extLst>
        </c:ser>
        <c:ser>
          <c:idx val="3"/>
          <c:order val="3"/>
          <c:tx>
            <c:strRef>
              <c:f>Diagramma_pa_gadiem!$E$26</c:f>
              <c:strCache>
                <c:ptCount val="1"/>
                <c:pt idx="0">
                  <c:v>Kopējā līgumcenu summa zem ES līgumcenu sliekšņa (EUR) bez PVN</c:v>
                </c:pt>
              </c:strCache>
            </c:strRef>
          </c:tx>
          <c:spPr>
            <a:ln w="28575" cap="rnd">
              <a:solidFill>
                <a:schemeClr val="accent4"/>
              </a:solidFill>
              <a:round/>
            </a:ln>
            <a:effectLst/>
          </c:spPr>
          <c:marker>
            <c:symbol val="none"/>
          </c:marker>
          <c:dLbls>
            <c:dLbl>
              <c:idx val="0"/>
              <c:layout>
                <c:manualLayout>
                  <c:x val="-1.0752688172043012E-2"/>
                  <c:y val="-0.163580246913580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13-408E-A454-7F27AE0CC8C1}"/>
                </c:ext>
              </c:extLst>
            </c:dLbl>
            <c:dLbl>
              <c:idx val="1"/>
              <c:layout>
                <c:manualLayout>
                  <c:x val="-2.5033781772042891E-3"/>
                  <c:y val="-0.1279882725131637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13-408E-A454-7F27AE0CC8C1}"/>
                </c:ext>
              </c:extLst>
            </c:dLbl>
            <c:dLbl>
              <c:idx val="2"/>
              <c:layout>
                <c:manualLayout>
                  <c:x val="3.870967741935484E-2"/>
                  <c:y val="-9.2592592592592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013-408E-A454-7F27AE0CC8C1}"/>
                </c:ext>
              </c:extLst>
            </c:dLbl>
            <c:dLbl>
              <c:idx val="3"/>
              <c:layout>
                <c:manualLayout>
                  <c:x val="-0.21693403507807596"/>
                  <c:y val="6.02068478606496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013-408E-A454-7F27AE0CC8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Diagramma_pa_gadiem!$A$27:$A$32</c:f>
              <c:strCache>
                <c:ptCount val="6"/>
                <c:pt idx="0">
                  <c:v>2012.gads</c:v>
                </c:pt>
                <c:pt idx="1">
                  <c:v>2013.gads</c:v>
                </c:pt>
                <c:pt idx="2">
                  <c:v>2014.gads</c:v>
                </c:pt>
                <c:pt idx="3">
                  <c:v>2015.gads</c:v>
                </c:pt>
                <c:pt idx="4">
                  <c:v>2016.gads</c:v>
                </c:pt>
                <c:pt idx="5">
                  <c:v>2017.gads</c:v>
                </c:pt>
              </c:strCache>
            </c:strRef>
          </c:cat>
          <c:val>
            <c:numRef>
              <c:f>Diagramma_pa_gadiem!$E$27:$E$32</c:f>
              <c:numCache>
                <c:formatCode>#,##0</c:formatCode>
                <c:ptCount val="6"/>
                <c:pt idx="0">
                  <c:v>312514</c:v>
                </c:pt>
                <c:pt idx="1">
                  <c:v>2535151</c:v>
                </c:pt>
                <c:pt idx="2">
                  <c:v>1178053</c:v>
                </c:pt>
                <c:pt idx="3">
                  <c:v>94497858</c:v>
                </c:pt>
                <c:pt idx="4">
                  <c:v>4462459</c:v>
                </c:pt>
                <c:pt idx="5">
                  <c:v>2763481</c:v>
                </c:pt>
              </c:numCache>
            </c:numRef>
          </c:val>
          <c:smooth val="0"/>
          <c:extLst>
            <c:ext xmlns:c16="http://schemas.microsoft.com/office/drawing/2014/chart" uri="{C3380CC4-5D6E-409C-BE32-E72D297353CC}">
              <c16:uniqueId val="{00000003-8013-408E-A454-7F27AE0CC8C1}"/>
            </c:ext>
          </c:extLst>
        </c:ser>
        <c:dLbls>
          <c:showLegendKey val="0"/>
          <c:showVal val="1"/>
          <c:showCatName val="0"/>
          <c:showSerName val="0"/>
          <c:showPercent val="0"/>
          <c:showBubbleSize val="0"/>
        </c:dLbls>
        <c:marker val="1"/>
        <c:smooth val="0"/>
        <c:axId val="378574544"/>
        <c:axId val="378577168"/>
      </c:lineChart>
      <c:catAx>
        <c:axId val="37857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8577168"/>
        <c:crosses val="autoZero"/>
        <c:auto val="1"/>
        <c:lblAlgn val="ctr"/>
        <c:lblOffset val="100"/>
        <c:noMultiLvlLbl val="0"/>
      </c:catAx>
      <c:valAx>
        <c:axId val="3785771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8574544"/>
        <c:crosses val="autoZero"/>
        <c:crossBetween val="between"/>
      </c:valAx>
      <c:valAx>
        <c:axId val="3799480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9949968"/>
        <c:crosses val="max"/>
        <c:crossBetween val="between"/>
      </c:valAx>
      <c:catAx>
        <c:axId val="379949968"/>
        <c:scaling>
          <c:orientation val="minMax"/>
        </c:scaling>
        <c:delete val="1"/>
        <c:axPos val="b"/>
        <c:numFmt formatCode="General" sourceLinked="1"/>
        <c:majorTickMark val="out"/>
        <c:minorTickMark val="none"/>
        <c:tickLblPos val="nextTo"/>
        <c:crossAx val="37994800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t>Sarunu procedūru, nepublicējot paziņojumu par</a:t>
            </a:r>
            <a:r>
              <a:rPr lang="lv-LV" sz="1200" b="1" baseline="0"/>
              <a:t> līgumu, skaita un līgumcenas procentuālais sadalījums pēc piemērotā likuma panta</a:t>
            </a:r>
            <a:endParaRPr lang="lv-LV" sz="1200" b="1"/>
          </a:p>
        </c:rich>
      </c:tx>
      <c:layout>
        <c:manualLayout>
          <c:xMode val="edge"/>
          <c:yMode val="edge"/>
          <c:x val="0.16319280664079666"/>
          <c:y val="3.070257639742481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stacked"/>
        <c:varyColors val="0"/>
        <c:ser>
          <c:idx val="0"/>
          <c:order val="0"/>
          <c:tx>
            <c:strRef>
              <c:f>Procedūru_dinamika!$A$88</c:f>
              <c:strCache>
                <c:ptCount val="1"/>
                <c:pt idx="0">
                  <c:v>2012.gads</c:v>
                </c:pt>
              </c:strCache>
            </c:strRef>
          </c:tx>
          <c:spPr>
            <a:solidFill>
              <a:schemeClr val="accent1"/>
            </a:solidFill>
            <a:ln>
              <a:noFill/>
            </a:ln>
            <a:effectLst/>
          </c:spPr>
          <c:invertIfNegative val="0"/>
          <c:cat>
            <c:multiLvlStrRef>
              <c:f>Procedūru_dinamika!$B$86:$I$87</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Procedūru_dinamika!$B$88:$I$88</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951-45CA-87B6-7C6CFE72FCA7}"/>
            </c:ext>
          </c:extLst>
        </c:ser>
        <c:ser>
          <c:idx val="1"/>
          <c:order val="1"/>
          <c:tx>
            <c:strRef>
              <c:f>Procedūru_dinamika!$A$89</c:f>
              <c:strCache>
                <c:ptCount val="1"/>
                <c:pt idx="0">
                  <c:v>2013.gads</c:v>
                </c:pt>
              </c:strCache>
            </c:strRef>
          </c:tx>
          <c:spPr>
            <a:solidFill>
              <a:schemeClr val="accent2"/>
            </a:solidFill>
            <a:ln>
              <a:noFill/>
            </a:ln>
            <a:effectLst/>
          </c:spPr>
          <c:invertIfNegative val="0"/>
          <c:dLbls>
            <c:dLbl>
              <c:idx val="4"/>
              <c:layout>
                <c:manualLayout>
                  <c:x val="1.8427457333383544E-2"/>
                  <c:y val="-2.3809465856953354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5"/>
              <c:layout>
                <c:manualLayout>
                  <c:x val="5.7641259006446746E-2"/>
                  <c:y val="-2.7777777777777776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6"/>
              <c:layout>
                <c:manualLayout>
                  <c:x val="2.1690590111642767E-2"/>
                  <c:y val="1.23647604327666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5FD-4DF3-8204-59FEBC5D31DF}"/>
                </c:ext>
              </c:extLst>
            </c:dLbl>
            <c:dLbl>
              <c:idx val="7"/>
              <c:layout>
                <c:manualLayout>
                  <c:x val="6.3795853269537246E-3"/>
                  <c:y val="3.709428129829984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5FD-4DF3-8204-59FEBC5D31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Procedūru_dinamika!$B$86:$I$87</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Procedūru_dinamika!$B$89:$I$89</c:f>
              <c:numCache>
                <c:formatCode>0.0%</c:formatCode>
                <c:ptCount val="8"/>
                <c:pt idx="0">
                  <c:v>0</c:v>
                </c:pt>
                <c:pt idx="1">
                  <c:v>0</c:v>
                </c:pt>
                <c:pt idx="2">
                  <c:v>1</c:v>
                </c:pt>
                <c:pt idx="3">
                  <c:v>1</c:v>
                </c:pt>
                <c:pt idx="4">
                  <c:v>0</c:v>
                </c:pt>
                <c:pt idx="5">
                  <c:v>0</c:v>
                </c:pt>
                <c:pt idx="6">
                  <c:v>0</c:v>
                </c:pt>
                <c:pt idx="7">
                  <c:v>0</c:v>
                </c:pt>
              </c:numCache>
            </c:numRef>
          </c:val>
          <c:extLst>
            <c:ext xmlns:c16="http://schemas.microsoft.com/office/drawing/2014/chart" uri="{C3380CC4-5D6E-409C-BE32-E72D297353CC}">
              <c16:uniqueId val="{00000001-4951-45CA-87B6-7C6CFE72FCA7}"/>
            </c:ext>
          </c:extLst>
        </c:ser>
        <c:ser>
          <c:idx val="2"/>
          <c:order val="2"/>
          <c:tx>
            <c:strRef>
              <c:f>Procedūru_dinamika!$A$90</c:f>
              <c:strCache>
                <c:ptCount val="1"/>
                <c:pt idx="0">
                  <c:v>2014.gads</c:v>
                </c:pt>
              </c:strCache>
            </c:strRef>
          </c:tx>
          <c:spPr>
            <a:solidFill>
              <a:schemeClr val="accent3"/>
            </a:solidFill>
            <a:ln>
              <a:noFill/>
            </a:ln>
            <a:effectLst/>
          </c:spPr>
          <c:invertIfNegative val="0"/>
          <c:dLbls>
            <c:dLbl>
              <c:idx val="0"/>
              <c:layout>
                <c:manualLayout>
                  <c:x val="1.6586921850079744E-2"/>
                  <c:y val="2.67903142709943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5FD-4DF3-8204-59FEBC5D31DF}"/>
                </c:ext>
              </c:extLst>
            </c:dLbl>
            <c:dLbl>
              <c:idx val="1"/>
              <c:layout>
                <c:manualLayout>
                  <c:x val="1.4035087719298246E-2"/>
                  <c:y val="-3.709428129829984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5FD-4DF3-8204-59FEBC5D31DF}"/>
                </c:ext>
              </c:extLst>
            </c:dLbl>
            <c:dLbl>
              <c:idx val="4"/>
              <c:layout>
                <c:manualLayout>
                  <c:x val="6.2602720114531135E-2"/>
                  <c:y val="3.823501969518106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1-45CA-87B6-7C6CFE72FCA7}"/>
                </c:ext>
              </c:extLst>
            </c:dLbl>
            <c:dLbl>
              <c:idx val="5"/>
              <c:layout>
                <c:manualLayout>
                  <c:x val="5.6124383769434995E-2"/>
                  <c:y val="2.77777777777777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1-45CA-87B6-7C6CFE72FCA7}"/>
                </c:ext>
              </c:extLst>
            </c:dLbl>
            <c:dLbl>
              <c:idx val="6"/>
              <c:layout>
                <c:manualLayout>
                  <c:x val="8.7748131961973605E-2"/>
                  <c:y val="1.2671445435626575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7"/>
              <c:layout>
                <c:manualLayout>
                  <c:x val="2.0792525336246821E-2"/>
                  <c:y val="-4.9833229887995066E-2"/>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Procedūru_dinamika!$B$86:$I$87</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Procedūru_dinamika!$B$90:$I$90</c:f>
              <c:numCache>
                <c:formatCode>0.0%</c:formatCode>
                <c:ptCount val="8"/>
                <c:pt idx="0">
                  <c:v>0</c:v>
                </c:pt>
                <c:pt idx="1">
                  <c:v>0</c:v>
                </c:pt>
                <c:pt idx="2">
                  <c:v>1</c:v>
                </c:pt>
                <c:pt idx="3">
                  <c:v>1</c:v>
                </c:pt>
                <c:pt idx="4">
                  <c:v>0</c:v>
                </c:pt>
                <c:pt idx="5">
                  <c:v>0</c:v>
                </c:pt>
                <c:pt idx="6">
                  <c:v>0</c:v>
                </c:pt>
                <c:pt idx="7">
                  <c:v>0</c:v>
                </c:pt>
              </c:numCache>
            </c:numRef>
          </c:val>
          <c:extLst>
            <c:ext xmlns:c16="http://schemas.microsoft.com/office/drawing/2014/chart" uri="{C3380CC4-5D6E-409C-BE32-E72D297353CC}">
              <c16:uniqueId val="{00000002-4951-45CA-87B6-7C6CFE72FCA7}"/>
            </c:ext>
          </c:extLst>
        </c:ser>
        <c:ser>
          <c:idx val="3"/>
          <c:order val="3"/>
          <c:tx>
            <c:strRef>
              <c:f>Procedūru_dinamika!$A$91</c:f>
              <c:strCache>
                <c:ptCount val="1"/>
                <c:pt idx="0">
                  <c:v>2015.gads</c:v>
                </c:pt>
              </c:strCache>
            </c:strRef>
          </c:tx>
          <c:spPr>
            <a:solidFill>
              <a:schemeClr val="accent4"/>
            </a:solidFill>
            <a:ln>
              <a:noFill/>
            </a:ln>
            <a:effectLst/>
          </c:spPr>
          <c:invertIfNegative val="0"/>
          <c:dLbls>
            <c:dLbl>
              <c:idx val="0"/>
              <c:layout>
                <c:manualLayout>
                  <c:x val="6.5071770334928225E-2"/>
                  <c:y val="-4.12158681092220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FD-4DF3-8204-59FEBC5D31DF}"/>
                </c:ext>
              </c:extLst>
            </c:dLbl>
            <c:dLbl>
              <c:idx val="1"/>
              <c:layout>
                <c:manualLayout>
                  <c:x val="2.4242424242424218E-2"/>
                  <c:y val="1.85471406491499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FD-4DF3-8204-59FEBC5D31DF}"/>
                </c:ext>
              </c:extLst>
            </c:dLbl>
            <c:dLbl>
              <c:idx val="4"/>
              <c:layout>
                <c:manualLayout>
                  <c:x val="2.5518341307814991E-3"/>
                  <c:y val="3.50334878928387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5FD-4DF3-8204-59FEBC5D31DF}"/>
                </c:ext>
              </c:extLst>
            </c:dLbl>
            <c:dLbl>
              <c:idx val="5"/>
              <c:layout>
                <c:manualLayout>
                  <c:x val="0.10590111642743222"/>
                  <c:y val="2.885110767645539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5FD-4DF3-8204-59FEBC5D31DF}"/>
                </c:ext>
              </c:extLst>
            </c:dLbl>
            <c:dLbl>
              <c:idx val="6"/>
              <c:layout>
                <c:manualLayout>
                  <c:x val="4.0829346092503965E-2"/>
                  <c:y val="-3.29726944873776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FD-4DF3-8204-59FEBC5D31DF}"/>
                </c:ext>
              </c:extLst>
            </c:dLbl>
            <c:dLbl>
              <c:idx val="7"/>
              <c:layout>
                <c:manualLayout>
                  <c:x val="5.3588516746411484E-2"/>
                  <c:y val="-3.91550747037609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5FD-4DF3-8204-59FEBC5D31D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Procedūru_dinamika!$B$86:$I$87</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Procedūru_dinamika!$B$91:$I$91</c:f>
              <c:numCache>
                <c:formatCode>0.0%</c:formatCode>
                <c:ptCount val="8"/>
                <c:pt idx="0">
                  <c:v>0</c:v>
                </c:pt>
                <c:pt idx="1">
                  <c:v>0</c:v>
                </c:pt>
                <c:pt idx="2">
                  <c:v>0.7142857142857143</c:v>
                </c:pt>
                <c:pt idx="3">
                  <c:v>0.88411203269838545</c:v>
                </c:pt>
                <c:pt idx="4">
                  <c:v>0.14285714285714285</c:v>
                </c:pt>
                <c:pt idx="5">
                  <c:v>3.6823527742513872E-2</c:v>
                </c:pt>
                <c:pt idx="6">
                  <c:v>0.14285714285714285</c:v>
                </c:pt>
                <c:pt idx="7">
                  <c:v>7.9064439559100641E-2</c:v>
                </c:pt>
              </c:numCache>
            </c:numRef>
          </c:val>
          <c:extLst>
            <c:ext xmlns:c16="http://schemas.microsoft.com/office/drawing/2014/chart" uri="{C3380CC4-5D6E-409C-BE32-E72D297353CC}">
              <c16:uniqueId val="{00000003-4951-45CA-87B6-7C6CFE72FCA7}"/>
            </c:ext>
          </c:extLst>
        </c:ser>
        <c:ser>
          <c:idx val="4"/>
          <c:order val="4"/>
          <c:tx>
            <c:strRef>
              <c:f>Procedūru_dinamika!$A$92</c:f>
              <c:strCache>
                <c:ptCount val="1"/>
                <c:pt idx="0">
                  <c:v>2016.gads</c:v>
                </c:pt>
              </c:strCache>
            </c:strRef>
          </c:tx>
          <c:spPr>
            <a:solidFill>
              <a:schemeClr val="accent5">
                <a:lumMod val="40000"/>
                <a:lumOff val="60000"/>
              </a:schemeClr>
            </a:solidFill>
            <a:ln>
              <a:noFill/>
            </a:ln>
            <a:effectLst/>
          </c:spPr>
          <c:invertIfNegative val="0"/>
          <c:dLbls>
            <c:dLbl>
              <c:idx val="0"/>
              <c:layout>
                <c:manualLayout>
                  <c:x val="4.5933014354066964E-2"/>
                  <c:y val="1.85471406491499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FD-4DF3-8204-59FEBC5D31DF}"/>
                </c:ext>
              </c:extLst>
            </c:dLbl>
            <c:dLbl>
              <c:idx val="1"/>
              <c:layout>
                <c:manualLayout>
                  <c:x val="4.2105263157894715E-2"/>
                  <c:y val="-1.85471406491499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FD-4DF3-8204-59FEBC5D31DF}"/>
                </c:ext>
              </c:extLst>
            </c:dLbl>
            <c:dLbl>
              <c:idx val="5"/>
              <c:layout>
                <c:manualLayout>
                  <c:x val="8.0382775119617181E-2"/>
                  <c:y val="-2.47295208655332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5FD-4DF3-8204-59FEBC5D31DF}"/>
                </c:ext>
              </c:extLst>
            </c:dLbl>
            <c:dLbl>
              <c:idx val="6"/>
              <c:layout>
                <c:manualLayout>
                  <c:x val="5.8692185007974434E-2"/>
                  <c:y val="-1.85471406491499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FD-4DF3-8204-59FEBC5D31DF}"/>
                </c:ext>
              </c:extLst>
            </c:dLbl>
            <c:dLbl>
              <c:idx val="7"/>
              <c:layout>
                <c:manualLayout>
                  <c:x val="3.7001594896331737E-2"/>
                  <c:y val="6.182380216383307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FD-4DF3-8204-59FEBC5D31D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Procedūru_dinamika!$B$86:$I$87</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Procedūru_dinamika!$B$92:$I$92</c:f>
              <c:numCache>
                <c:formatCode>0.0%</c:formatCode>
                <c:ptCount val="8"/>
                <c:pt idx="0">
                  <c:v>0</c:v>
                </c:pt>
                <c:pt idx="1">
                  <c:v>0</c:v>
                </c:pt>
                <c:pt idx="2">
                  <c:v>0.5</c:v>
                </c:pt>
                <c:pt idx="3">
                  <c:v>0.80067335404914552</c:v>
                </c:pt>
                <c:pt idx="4">
                  <c:v>0.33333333333333331</c:v>
                </c:pt>
                <c:pt idx="5">
                  <c:v>0.16554967882317262</c:v>
                </c:pt>
                <c:pt idx="6">
                  <c:v>0.16666666666666666</c:v>
                </c:pt>
                <c:pt idx="7">
                  <c:v>3.3776967127681835E-2</c:v>
                </c:pt>
              </c:numCache>
            </c:numRef>
          </c:val>
          <c:extLst>
            <c:ext xmlns:c16="http://schemas.microsoft.com/office/drawing/2014/chart" uri="{C3380CC4-5D6E-409C-BE32-E72D297353CC}">
              <c16:uniqueId val="{00000000-138B-45A8-81DF-E38700EECAC4}"/>
            </c:ext>
          </c:extLst>
        </c:ser>
        <c:ser>
          <c:idx val="6"/>
          <c:order val="5"/>
          <c:tx>
            <c:strRef>
              <c:f>Procedūru_dinamika!$A$93</c:f>
              <c:strCache>
                <c:ptCount val="1"/>
                <c:pt idx="0">
                  <c:v>2017.gads</c:v>
                </c:pt>
              </c:strCache>
            </c:strRef>
          </c:tx>
          <c:spPr>
            <a:solidFill>
              <a:schemeClr val="accent1">
                <a:lumMod val="60000"/>
              </a:schemeClr>
            </a:solidFill>
            <a:ln>
              <a:noFill/>
            </a:ln>
            <a:effectLst/>
          </c:spPr>
          <c:invertIfNegative val="0"/>
          <c:dLbls>
            <c:dLbl>
              <c:idx val="0"/>
              <c:layout>
                <c:manualLayout>
                  <c:x val="4.4657097288676215E-2"/>
                  <c:y val="-1.23647604327666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5FD-4DF3-8204-59FEBC5D31DF}"/>
                </c:ext>
              </c:extLst>
            </c:dLbl>
            <c:dLbl>
              <c:idx val="1"/>
              <c:layout>
                <c:manualLayout>
                  <c:x val="7.6555023923444973E-2"/>
                  <c:y val="-6.182380216383307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5FD-4DF3-8204-59FEBC5D31DF}"/>
                </c:ext>
              </c:extLst>
            </c:dLbl>
            <c:dLbl>
              <c:idx val="2"/>
              <c:layout>
                <c:manualLayout>
                  <c:x val="-1.2759170653907496E-3"/>
                  <c:y val="2.0607934054611026E-3"/>
                </c:manualLayout>
              </c:layout>
              <c:tx>
                <c:rich>
                  <a:bodyPr/>
                  <a:lstStyle/>
                  <a:p>
                    <a:fld id="{765C66D5-8023-4858-BFC9-219DFB863355}" type="VALUE">
                      <a:rPr lang="en-US">
                        <a:solidFill>
                          <a:schemeClr val="bg1"/>
                        </a:solidFill>
                      </a:rPr>
                      <a:pPr/>
                      <a:t>[VALUE]</a:t>
                    </a:fld>
                    <a:endParaRPr lang="lv-LV"/>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95FD-4DF3-8204-59FEBC5D31DF}"/>
                </c:ext>
              </c:extLst>
            </c:dLbl>
            <c:dLbl>
              <c:idx val="3"/>
              <c:tx>
                <c:rich>
                  <a:bodyPr/>
                  <a:lstStyle/>
                  <a:p>
                    <a:fld id="{340EADFF-DFF8-48C2-9AE0-050482EE600A}" type="VALUE">
                      <a:rPr lang="en-US">
                        <a:solidFill>
                          <a:schemeClr val="bg1"/>
                        </a:solidFill>
                      </a:rPr>
                      <a:pPr/>
                      <a:t>[VALUE]</a:t>
                    </a:fld>
                    <a:endParaRPr lang="lv-LV"/>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95FD-4DF3-8204-59FEBC5D31DF}"/>
                </c:ext>
              </c:extLst>
            </c:dLbl>
            <c:dLbl>
              <c:idx val="4"/>
              <c:tx>
                <c:rich>
                  <a:bodyPr/>
                  <a:lstStyle/>
                  <a:p>
                    <a:fld id="{5C3BBD70-2311-4B31-8F60-67374753DC89}" type="VALUE">
                      <a:rPr lang="en-US">
                        <a:solidFill>
                          <a:schemeClr val="bg1"/>
                        </a:solidFill>
                      </a:rPr>
                      <a:pPr/>
                      <a:t>[VALUE]</a:t>
                    </a:fld>
                    <a:endParaRPr lang="lv-LV"/>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95FD-4DF3-8204-59FEBC5D31DF}"/>
                </c:ext>
              </c:extLst>
            </c:dLbl>
            <c:dLbl>
              <c:idx val="5"/>
              <c:tx>
                <c:rich>
                  <a:bodyPr/>
                  <a:lstStyle/>
                  <a:p>
                    <a:fld id="{D2F18AA0-21E8-4BF6-9953-64CF24CCBEF2}" type="VALUE">
                      <a:rPr lang="en-US">
                        <a:solidFill>
                          <a:schemeClr val="bg1"/>
                        </a:solidFill>
                      </a:rPr>
                      <a:pPr/>
                      <a:t>[VALUE]</a:t>
                    </a:fld>
                    <a:endParaRPr lang="lv-LV"/>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95FD-4DF3-8204-59FEBC5D31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Procedūru_dinamika!$B$86:$I$87</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Procedūru_dinamika!$B$93:$I$93</c:f>
              <c:numCache>
                <c:formatCode>0.0%</c:formatCode>
                <c:ptCount val="8"/>
                <c:pt idx="0">
                  <c:v>0.125</c:v>
                </c:pt>
                <c:pt idx="1">
                  <c:v>1.9106823508954051E-2</c:v>
                </c:pt>
                <c:pt idx="2">
                  <c:v>0.375</c:v>
                </c:pt>
                <c:pt idx="3">
                  <c:v>0.16054817091245493</c:v>
                </c:pt>
                <c:pt idx="4">
                  <c:v>0.5</c:v>
                </c:pt>
                <c:pt idx="5">
                  <c:v>0.82034500557859102</c:v>
                </c:pt>
                <c:pt idx="6">
                  <c:v>0</c:v>
                </c:pt>
                <c:pt idx="7">
                  <c:v>0</c:v>
                </c:pt>
              </c:numCache>
            </c:numRef>
          </c:val>
          <c:extLst>
            <c:ext xmlns:c16="http://schemas.microsoft.com/office/drawing/2014/chart" uri="{C3380CC4-5D6E-409C-BE32-E72D297353CC}">
              <c16:uniqueId val="{00000001-95FD-4DF3-8204-59FEBC5D31DF}"/>
            </c:ext>
          </c:extLst>
        </c:ser>
        <c:dLbls>
          <c:showLegendKey val="0"/>
          <c:showVal val="0"/>
          <c:showCatName val="0"/>
          <c:showSerName val="0"/>
          <c:showPercent val="0"/>
          <c:showBubbleSize val="0"/>
        </c:dLbls>
        <c:gapWidth val="150"/>
        <c:overlap val="100"/>
        <c:axId val="472287456"/>
        <c:axId val="472287784"/>
      </c:barChart>
      <c:catAx>
        <c:axId val="472287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2287784"/>
        <c:crosses val="autoZero"/>
        <c:auto val="1"/>
        <c:lblAlgn val="ctr"/>
        <c:lblOffset val="100"/>
        <c:noMultiLvlLbl val="0"/>
      </c:catAx>
      <c:valAx>
        <c:axId val="4722877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22874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lv-LV" sz="1200"/>
              <a:t>Aizsardzības un drošības jomas virs ES līgumcenu sliekšņa valsts sektora 2017.gadā</a:t>
            </a:r>
            <a:r>
              <a:rPr lang="lv-LV" sz="1200" baseline="0"/>
              <a:t> noslēgto līgumcenu sadalījums (%) pēc CPV klasifikatora</a:t>
            </a:r>
            <a:endParaRPr lang="lv-LV"/>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manualLayout>
          <c:layoutTarget val="inner"/>
          <c:xMode val="edge"/>
          <c:yMode val="edge"/>
          <c:x val="0.34945943757030373"/>
          <c:y val="0.28326433889623653"/>
          <c:w val="0.38641433820772408"/>
          <c:h val="0.5890463550067867"/>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A1B7-421B-912A-439CC6DFC29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1B7-421B-912A-439CC6DFC29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57F0-4E21-B5C8-FA7AF7CC0E03}"/>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A1B7-421B-912A-439CC6DFC298}"/>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57F0-4E21-B5C8-FA7AF7CC0E03}"/>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1B7-421B-912A-439CC6DFC298}"/>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A1B7-421B-912A-439CC6DFC298}"/>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FAB2-4A74-944E-8DFC35400934}"/>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FAB2-4A74-944E-8DFC35400934}"/>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c:spPr>
          </c:dPt>
          <c:dPt>
            <c:idx val="10"/>
            <c:bubble3D val="0"/>
            <c:spPr>
              <a:solidFill>
                <a:schemeClr val="accent5">
                  <a:lumMod val="60000"/>
                </a:schemeClr>
              </a:solidFill>
              <a:ln>
                <a:noFill/>
              </a:ln>
              <a:effectLst>
                <a:outerShdw blurRad="254000" sx="102000" sy="102000" algn="ctr" rotWithShape="0">
                  <a:prstClr val="black">
                    <a:alpha val="20000"/>
                  </a:prstClr>
                </a:outerShdw>
              </a:effectLst>
            </c:spPr>
          </c:dPt>
          <c:dLbls>
            <c:dLbl>
              <c:idx val="0"/>
              <c:layout>
                <c:manualLayout>
                  <c:x val="9.7584652312161773E-3"/>
                  <c:y val="-7.095857767375203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1B7-421B-912A-439CC6DFC298}"/>
                </c:ext>
              </c:extLst>
            </c:dLbl>
            <c:dLbl>
              <c:idx val="1"/>
              <c:layout>
                <c:manualLayout>
                  <c:x val="0.10348706411698538"/>
                  <c:y val="-4.95422724824986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1B7-421B-912A-439CC6DFC298}"/>
                </c:ext>
              </c:extLst>
            </c:dLbl>
            <c:dLbl>
              <c:idx val="2"/>
              <c:layout>
                <c:manualLayout>
                  <c:x val="8.0976413381398077E-2"/>
                  <c:y val="1.44439214888122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7F0-4E21-B5C8-FA7AF7CC0E03}"/>
                </c:ext>
              </c:extLst>
            </c:dLbl>
            <c:dLbl>
              <c:idx val="3"/>
              <c:layout>
                <c:manualLayout>
                  <c:x val="8.9424845516357696E-2"/>
                  <c:y val="0.1835969453737507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1B7-421B-912A-439CC6DFC298}"/>
                </c:ext>
              </c:extLst>
            </c:dLbl>
            <c:dLbl>
              <c:idx val="4"/>
              <c:layout>
                <c:manualLayout>
                  <c:x val="2.0997375328083878E-2"/>
                  <c:y val="6.4620355411953972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7F0-4E21-B5C8-FA7AF7CC0E03}"/>
                </c:ext>
              </c:extLst>
            </c:dLbl>
            <c:dLbl>
              <c:idx val="5"/>
              <c:layout>
                <c:manualLayout>
                  <c:x val="3.59955005624297E-2"/>
                  <c:y val="4.954227248249849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1B7-421B-912A-439CC6DFC298}"/>
                </c:ext>
              </c:extLst>
            </c:dLbl>
            <c:dLbl>
              <c:idx val="6"/>
              <c:layout>
                <c:manualLayout>
                  <c:x val="-4.7994000749906264E-2"/>
                  <c:y val="-1.292407108239111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1B7-421B-912A-439CC6DFC298}"/>
                </c:ext>
              </c:extLst>
            </c:dLbl>
            <c:dLbl>
              <c:idx val="7"/>
              <c:layout>
                <c:manualLayout>
                  <c:x val="-1.1998500187476566E-2"/>
                  <c:y val="7.108239095315024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FAB2-4A74-944E-8DFC35400934}"/>
                </c:ext>
              </c:extLst>
            </c:dLbl>
            <c:dLbl>
              <c:idx val="8"/>
              <c:layout>
                <c:manualLayout>
                  <c:x val="-8.0989876265466818E-2"/>
                  <c:y val="0.135702746365105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FAB2-4A74-944E-8DFC35400934}"/>
                </c:ext>
              </c:extLst>
            </c:dLbl>
            <c:dLbl>
              <c:idx val="9"/>
              <c:layout>
                <c:manualLayout>
                  <c:x val="-7.5338535438975646E-2"/>
                  <c:y val="1.9303507901576922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0"/>
              <c:layout>
                <c:manualLayout>
                  <c:x val="-4.8629944878937376E-2"/>
                  <c:y val="-7.9105491458155777E-2"/>
                </c:manualLayout>
              </c:layout>
              <c:dLblPos val="bestFit"/>
              <c:showLegendKey val="0"/>
              <c:showVal val="0"/>
              <c:showCatName val="1"/>
              <c:showSerName val="0"/>
              <c:showPercent val="1"/>
              <c:showBubbleSize val="0"/>
              <c:extLst>
                <c:ext xmlns:c15="http://schemas.microsoft.com/office/drawing/2012/chart" uri="{CE6537A1-D6FC-4f65-9D91-7224C49458BB}"/>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lv-LV"/>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pattFill prst="pct75">
                    <a:fgClr>
                      <a:schemeClr val="dk1">
                        <a:lumMod val="75000"/>
                        <a:lumOff val="25000"/>
                      </a:schemeClr>
                    </a:fgClr>
                    <a:bgClr>
                      <a:schemeClr val="dk1">
                        <a:lumMod val="65000"/>
                        <a:lumOff val="35000"/>
                      </a:schemeClr>
                    </a:bgClr>
                  </a:pattFill>
                  <a:ln>
                    <a:noFill/>
                  </a:ln>
                </c15:spPr>
              </c:ext>
            </c:extLst>
          </c:dLbls>
          <c:cat>
            <c:multiLvlStrRef>
              <c:f>'CPV_kodi_%_dinamika'!$A$34:$B$44</c:f>
              <c:multiLvlStrCache>
                <c:ptCount val="11"/>
                <c:lvl>
                  <c:pt idx="0">
                    <c:v>Akumulatori, galvaniskie elementi un galvaniskās baterijas</c:v>
                  </c:pt>
                  <c:pt idx="1">
                    <c:v>Radiostacijas</c:v>
                  </c:pt>
                  <c:pt idx="2">
                    <c:v>Mācību simulatori</c:v>
                  </c:pt>
                  <c:pt idx="3">
                    <c:v>Detaļas un piederumi transportlīdzekļiem un to dzinējiem</c:v>
                  </c:pt>
                  <c:pt idx="4">
                    <c:v>Ieroči, munīcija un to daļas</c:v>
                  </c:pt>
                  <c:pt idx="5">
                    <c:v>Militārās elektroniskās sistēmas.</c:v>
                  </c:pt>
                  <c:pt idx="6">
                    <c:v>Policistu formas tērpi</c:v>
                  </c:pt>
                  <c:pt idx="7">
                    <c:v>Nakts redzamības brilles</c:v>
                  </c:pt>
                  <c:pt idx="8">
                    <c:v>Ražošanas iekārtas</c:v>
                  </c:pt>
                  <c:pt idx="9">
                    <c:v>Helikopteru remonta un tehniskās apkopes pakalpojumi</c:v>
                  </c:pt>
                  <c:pt idx="10">
                    <c:v>Telekomunikāciju pakalpojumi</c:v>
                  </c:pt>
                </c:lvl>
                <c:lvl>
                  <c:pt idx="0">
                    <c:v>31400000-0</c:v>
                  </c:pt>
                  <c:pt idx="1">
                    <c:v>32344230-7</c:v>
                  </c:pt>
                  <c:pt idx="2">
                    <c:v>34152000-7</c:v>
                  </c:pt>
                  <c:pt idx="3">
                    <c:v>34300000-0</c:v>
                  </c:pt>
                  <c:pt idx="4">
                    <c:v>35300000-7</c:v>
                  </c:pt>
                  <c:pt idx="5">
                    <c:v>35700000-1</c:v>
                  </c:pt>
                  <c:pt idx="6">
                    <c:v>35812200-4</c:v>
                  </c:pt>
                  <c:pt idx="7">
                    <c:v>38632000-4</c:v>
                  </c:pt>
                  <c:pt idx="8">
                    <c:v>42000000-6</c:v>
                  </c:pt>
                  <c:pt idx="9">
                    <c:v>50212000-4</c:v>
                  </c:pt>
                  <c:pt idx="10">
                    <c:v>64200000-8</c:v>
                  </c:pt>
                </c:lvl>
              </c:multiLvlStrCache>
            </c:multiLvlStrRef>
          </c:cat>
          <c:val>
            <c:numRef>
              <c:f>'CPV_kodi_%_dinamika'!$G$34:$G$44</c:f>
              <c:numCache>
                <c:formatCode>0.0%</c:formatCode>
                <c:ptCount val="11"/>
                <c:pt idx="0">
                  <c:v>4.6370000000000001E-2</c:v>
                </c:pt>
                <c:pt idx="1">
                  <c:v>3.4660000000000003E-2</c:v>
                </c:pt>
                <c:pt idx="2">
                  <c:v>1.898E-2</c:v>
                </c:pt>
                <c:pt idx="3">
                  <c:v>1.7010000000000001E-2</c:v>
                </c:pt>
                <c:pt idx="4">
                  <c:v>0.41199999999999998</c:v>
                </c:pt>
                <c:pt idx="5">
                  <c:v>7.2999999999999995E-2</c:v>
                </c:pt>
                <c:pt idx="6">
                  <c:v>1.61E-2</c:v>
                </c:pt>
                <c:pt idx="7">
                  <c:v>0.23930000000000001</c:v>
                </c:pt>
                <c:pt idx="8">
                  <c:v>2.1399999999999999E-2</c:v>
                </c:pt>
                <c:pt idx="9">
                  <c:v>6.7699999999999996E-2</c:v>
                </c:pt>
                <c:pt idx="10">
                  <c:v>5.4100000000000002E-2</c:v>
                </c:pt>
              </c:numCache>
            </c:numRef>
          </c:val>
          <c:extLst>
            <c:ext xmlns:c16="http://schemas.microsoft.com/office/drawing/2014/chart" uri="{C3380CC4-5D6E-409C-BE32-E72D297353CC}">
              <c16:uniqueId val="{00000000-A1B7-421B-912A-439CC6DFC29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lv-LV" sz="1200"/>
              <a:t>Aizsardzības un drošības jomas valsts sektora virs ES līgumcenu sliekšņa iepirkumu skaita sadalījums pēc iepirkumu veida no 2012.-2017.gadam</a:t>
            </a:r>
          </a:p>
        </c:rich>
      </c:tx>
      <c:layout>
        <c:manualLayout>
          <c:xMode val="edge"/>
          <c:yMode val="edge"/>
          <c:x val="0.11311094493076633"/>
          <c:y val="2.9090930231285669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lv-LV"/>
        </a:p>
      </c:txPr>
    </c:title>
    <c:autoTitleDeleted val="0"/>
    <c:plotArea>
      <c:layout>
        <c:manualLayout>
          <c:layoutTarget val="inner"/>
          <c:xMode val="edge"/>
          <c:yMode val="edge"/>
          <c:x val="0.10277882862407563"/>
          <c:y val="0.27339838641723346"/>
          <c:w val="0.87487480266084061"/>
          <c:h val="0.52215701106910117"/>
        </c:manualLayout>
      </c:layout>
      <c:barChart>
        <c:barDir val="col"/>
        <c:grouping val="clustered"/>
        <c:varyColors val="0"/>
        <c:ser>
          <c:idx val="0"/>
          <c:order val="0"/>
          <c:tx>
            <c:strRef>
              <c:f>'CPV_kodi_%_dinamika'!$A$48</c:f>
              <c:strCache>
                <c:ptCount val="1"/>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f>'CPV_kodi_%_dinamika'!$B$47:$G$47</c:f>
              <c:strCache>
                <c:ptCount val="6"/>
                <c:pt idx="0">
                  <c:v>2017.gads</c:v>
                </c:pt>
                <c:pt idx="1">
                  <c:v>2016.gads</c:v>
                </c:pt>
                <c:pt idx="2">
                  <c:v>2015.gads</c:v>
                </c:pt>
                <c:pt idx="3">
                  <c:v>2014.gads</c:v>
                </c:pt>
                <c:pt idx="4">
                  <c:v>2013.gads</c:v>
                </c:pt>
                <c:pt idx="5">
                  <c:v>2012.gads</c:v>
                </c:pt>
              </c:strCache>
            </c:strRef>
          </c:cat>
          <c:val>
            <c:numRef>
              <c:f>'CPV_kodi_%_dinamika'!$B$48:$G$48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7FA-4D72-8567-12E5FB12167F}"/>
            </c:ext>
          </c:extLst>
        </c:ser>
        <c:ser>
          <c:idx val="1"/>
          <c:order val="1"/>
          <c:tx>
            <c:strRef>
              <c:f>'CPV_kodi_%_dinamika'!$A$49</c:f>
              <c:strCache>
                <c:ptCount val="1"/>
                <c:pt idx="0">
                  <c:v>Piegāde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'CPV_kodi_%_dinamika'!$B$47:$G$47</c:f>
              <c:strCache>
                <c:ptCount val="6"/>
                <c:pt idx="0">
                  <c:v>2017.gads</c:v>
                </c:pt>
                <c:pt idx="1">
                  <c:v>2016.gads</c:v>
                </c:pt>
                <c:pt idx="2">
                  <c:v>2015.gads</c:v>
                </c:pt>
                <c:pt idx="3">
                  <c:v>2014.gads</c:v>
                </c:pt>
                <c:pt idx="4">
                  <c:v>2013.gads</c:v>
                </c:pt>
                <c:pt idx="5">
                  <c:v>2012.gads</c:v>
                </c:pt>
              </c:strCache>
            </c:strRef>
          </c:cat>
          <c:val>
            <c:numRef>
              <c:f>'CPV_kodi_%_dinamika'!$B$49:$G$49</c:f>
              <c:numCache>
                <c:formatCode>General</c:formatCode>
                <c:ptCount val="6"/>
                <c:pt idx="0">
                  <c:v>16</c:v>
                </c:pt>
                <c:pt idx="1">
                  <c:v>6</c:v>
                </c:pt>
                <c:pt idx="2">
                  <c:v>7</c:v>
                </c:pt>
                <c:pt idx="3">
                  <c:v>2</c:v>
                </c:pt>
                <c:pt idx="4">
                  <c:v>1</c:v>
                </c:pt>
                <c:pt idx="5">
                  <c:v>0</c:v>
                </c:pt>
              </c:numCache>
            </c:numRef>
          </c:val>
          <c:extLst>
            <c:ext xmlns:c16="http://schemas.microsoft.com/office/drawing/2014/chart" uri="{C3380CC4-5D6E-409C-BE32-E72D297353CC}">
              <c16:uniqueId val="{00000001-77FA-4D72-8567-12E5FB12167F}"/>
            </c:ext>
          </c:extLst>
        </c:ser>
        <c:ser>
          <c:idx val="2"/>
          <c:order val="2"/>
          <c:tx>
            <c:strRef>
              <c:f>'CPV_kodi_%_dinamika'!$A$50</c:f>
              <c:strCache>
                <c:ptCount val="1"/>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'CPV_kodi_%_dinamika'!$B$47:$G$47</c:f>
              <c:strCache>
                <c:ptCount val="6"/>
                <c:pt idx="0">
                  <c:v>2017.gads</c:v>
                </c:pt>
                <c:pt idx="1">
                  <c:v>2016.gads</c:v>
                </c:pt>
                <c:pt idx="2">
                  <c:v>2015.gads</c:v>
                </c:pt>
                <c:pt idx="3">
                  <c:v>2014.gads</c:v>
                </c:pt>
                <c:pt idx="4">
                  <c:v>2013.gads</c:v>
                </c:pt>
                <c:pt idx="5">
                  <c:v>2012.gads</c:v>
                </c:pt>
              </c:strCache>
            </c:strRef>
          </c:cat>
          <c:val>
            <c:numRef>
              <c:f>'CPV_kodi_%_dinamika'!$B$50:$G$50</c:f>
              <c:numCache>
                <c:formatCode>General</c:formatCode>
                <c:ptCount val="6"/>
                <c:pt idx="0">
                  <c:v>2</c:v>
                </c:pt>
                <c:pt idx="1">
                  <c:v>2</c:v>
                </c:pt>
                <c:pt idx="2">
                  <c:v>4</c:v>
                </c:pt>
                <c:pt idx="3">
                  <c:v>2</c:v>
                </c:pt>
                <c:pt idx="4">
                  <c:v>1</c:v>
                </c:pt>
                <c:pt idx="5">
                  <c:v>1</c:v>
                </c:pt>
              </c:numCache>
            </c:numRef>
          </c:val>
          <c:extLst>
            <c:ext xmlns:c16="http://schemas.microsoft.com/office/drawing/2014/chart" uri="{C3380CC4-5D6E-409C-BE32-E72D297353CC}">
              <c16:uniqueId val="{00000002-77FA-4D72-8567-12E5FB12167F}"/>
            </c:ext>
          </c:extLst>
        </c:ser>
        <c:dLbls>
          <c:showLegendKey val="0"/>
          <c:showVal val="0"/>
          <c:showCatName val="0"/>
          <c:showSerName val="0"/>
          <c:showPercent val="0"/>
          <c:showBubbleSize val="0"/>
        </c:dLbls>
        <c:gapWidth val="100"/>
        <c:overlap val="-24"/>
        <c:axId val="400529104"/>
        <c:axId val="400534024"/>
      </c:barChart>
      <c:catAx>
        <c:axId val="40052910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00534024"/>
        <c:crosses val="autoZero"/>
        <c:auto val="1"/>
        <c:lblAlgn val="ctr"/>
        <c:lblOffset val="100"/>
        <c:noMultiLvlLbl val="0"/>
      </c:catAx>
      <c:valAx>
        <c:axId val="40053402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lv-LV"/>
                  <a:t>Iepirkumu</a:t>
                </a:r>
                <a:r>
                  <a:rPr lang="lv-LV" baseline="0"/>
                  <a:t> s</a:t>
                </a:r>
                <a:r>
                  <a:rPr lang="lv-LV"/>
                  <a:t>kaits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lv-LV"/>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00529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b="1" baseline="0"/>
              <a:t>Kopējās līgumcenas procentuālais sadalījums pēc iepirkuma sliekšņa un vidējās līgumcenas rādītāji pa gadiem</a:t>
            </a:r>
            <a:endParaRPr lang="lv-LV"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2765836944602044"/>
          <c:y val="0.11419620470763839"/>
          <c:w val="0.7658012369483953"/>
          <c:h val="0.62737714237333242"/>
        </c:manualLayout>
      </c:layout>
      <c:barChart>
        <c:barDir val="col"/>
        <c:grouping val="clustered"/>
        <c:varyColors val="0"/>
        <c:ser>
          <c:idx val="0"/>
          <c:order val="0"/>
          <c:tx>
            <c:strRef>
              <c:f>'Virs_zem_%_pa_gadiem'!$B$51:$B$52</c:f>
              <c:strCache>
                <c:ptCount val="2"/>
                <c:pt idx="0">
                  <c:v>Kopējā līgumcenu summa (EUR) bez PVN</c:v>
                </c:pt>
                <c:pt idx="1">
                  <c:v>virs ES līgumcenu sliekšņa</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'Virs_zem_%_pa_gadiem'!$A$53:$A$58</c:f>
              <c:strCache>
                <c:ptCount val="6"/>
                <c:pt idx="0">
                  <c:v>2012.gads</c:v>
                </c:pt>
                <c:pt idx="1">
                  <c:v>2013.gads</c:v>
                </c:pt>
                <c:pt idx="2">
                  <c:v>2014.gads</c:v>
                </c:pt>
                <c:pt idx="3">
                  <c:v>2015.gads</c:v>
                </c:pt>
                <c:pt idx="4">
                  <c:v>2016.gads</c:v>
                </c:pt>
                <c:pt idx="5">
                  <c:v>2017.gads</c:v>
                </c:pt>
              </c:strCache>
            </c:strRef>
          </c:cat>
          <c:val>
            <c:numRef>
              <c:f>'Virs_zem_%_pa_gadiem'!$B$53:$B$58</c:f>
              <c:numCache>
                <c:formatCode>0.0%</c:formatCode>
                <c:ptCount val="6"/>
                <c:pt idx="0">
                  <c:v>0.79500000000000004</c:v>
                </c:pt>
                <c:pt idx="1">
                  <c:v>0.51300000000000001</c:v>
                </c:pt>
                <c:pt idx="2">
                  <c:v>0.84299999999999997</c:v>
                </c:pt>
                <c:pt idx="3">
                  <c:v>0.48899999999999999</c:v>
                </c:pt>
                <c:pt idx="4">
                  <c:v>0.70799999999999996</c:v>
                </c:pt>
                <c:pt idx="5">
                  <c:v>0.90300000000000002</c:v>
                </c:pt>
              </c:numCache>
            </c:numRef>
          </c:val>
          <c:extLst>
            <c:ext xmlns:c16="http://schemas.microsoft.com/office/drawing/2014/chart" uri="{C3380CC4-5D6E-409C-BE32-E72D297353CC}">
              <c16:uniqueId val="{00000000-F4DE-42B7-B3EA-E7C8CDF9BA54}"/>
            </c:ext>
          </c:extLst>
        </c:ser>
        <c:ser>
          <c:idx val="1"/>
          <c:order val="1"/>
          <c:tx>
            <c:strRef>
              <c:f>'Virs_zem_%_pa_gadiem'!$C$51:$C$52</c:f>
              <c:strCache>
                <c:ptCount val="2"/>
                <c:pt idx="0">
                  <c:v>Kopējā līgumcenu summa (EUR) bez PVN</c:v>
                </c:pt>
                <c:pt idx="1">
                  <c:v>zem ES līgumcenu sliekšņa</c:v>
                </c:pt>
              </c:strCache>
            </c:strRef>
          </c:tx>
          <c:spPr>
            <a:solidFill>
              <a:srgbClr val="FFCC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'Virs_zem_%_pa_gadiem'!$A$53:$A$58</c:f>
              <c:strCache>
                <c:ptCount val="6"/>
                <c:pt idx="0">
                  <c:v>2012.gads</c:v>
                </c:pt>
                <c:pt idx="1">
                  <c:v>2013.gads</c:v>
                </c:pt>
                <c:pt idx="2">
                  <c:v>2014.gads</c:v>
                </c:pt>
                <c:pt idx="3">
                  <c:v>2015.gads</c:v>
                </c:pt>
                <c:pt idx="4">
                  <c:v>2016.gads</c:v>
                </c:pt>
                <c:pt idx="5">
                  <c:v>2017.gads</c:v>
                </c:pt>
              </c:strCache>
            </c:strRef>
          </c:cat>
          <c:val>
            <c:numRef>
              <c:f>'Virs_zem_%_pa_gadiem'!$C$53:$C$58</c:f>
              <c:numCache>
                <c:formatCode>0.0%</c:formatCode>
                <c:ptCount val="6"/>
                <c:pt idx="0">
                  <c:v>0.20499999999999999</c:v>
                </c:pt>
                <c:pt idx="1">
                  <c:v>0.48699999999999999</c:v>
                </c:pt>
                <c:pt idx="2">
                  <c:v>0.157</c:v>
                </c:pt>
                <c:pt idx="3">
                  <c:v>0.51100000000000001</c:v>
                </c:pt>
                <c:pt idx="4">
                  <c:v>0.29199999999999998</c:v>
                </c:pt>
                <c:pt idx="5">
                  <c:v>9.7000000000000003E-2</c:v>
                </c:pt>
              </c:numCache>
            </c:numRef>
          </c:val>
          <c:extLst>
            <c:ext xmlns:c16="http://schemas.microsoft.com/office/drawing/2014/chart" uri="{C3380CC4-5D6E-409C-BE32-E72D297353CC}">
              <c16:uniqueId val="{00000001-F4DE-42B7-B3EA-E7C8CDF9BA54}"/>
            </c:ext>
          </c:extLst>
        </c:ser>
        <c:dLbls>
          <c:showLegendKey val="0"/>
          <c:showVal val="0"/>
          <c:showCatName val="0"/>
          <c:showSerName val="0"/>
          <c:showPercent val="0"/>
          <c:showBubbleSize val="0"/>
        </c:dLbls>
        <c:gapWidth val="219"/>
        <c:overlap val="-27"/>
        <c:axId val="480523040"/>
        <c:axId val="480523696"/>
      </c:barChart>
      <c:lineChart>
        <c:grouping val="standard"/>
        <c:varyColors val="0"/>
        <c:ser>
          <c:idx val="2"/>
          <c:order val="2"/>
          <c:tx>
            <c:strRef>
              <c:f>'Virs_zem_%_pa_gadiem'!$D$51:$D$52</c:f>
              <c:strCache>
                <c:ptCount val="2"/>
                <c:pt idx="0">
                  <c:v>Vidējā līgumcena (EUR) bez PVN</c:v>
                </c:pt>
                <c:pt idx="1">
                  <c:v>virs ES līgumcenu sliekšņa</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'Virs_zem_%_pa_gadiem'!$A$53:$A$58</c:f>
              <c:strCache>
                <c:ptCount val="6"/>
                <c:pt idx="0">
                  <c:v>2012.gads</c:v>
                </c:pt>
                <c:pt idx="1">
                  <c:v>2013.gads</c:v>
                </c:pt>
                <c:pt idx="2">
                  <c:v>2014.gads</c:v>
                </c:pt>
                <c:pt idx="3">
                  <c:v>2015.gads</c:v>
                </c:pt>
                <c:pt idx="4">
                  <c:v>2016.gads</c:v>
                </c:pt>
                <c:pt idx="5">
                  <c:v>2017.gads</c:v>
                </c:pt>
              </c:strCache>
            </c:strRef>
          </c:cat>
          <c:val>
            <c:numRef>
              <c:f>'Virs_zem_%_pa_gadiem'!$D$53:$D$58</c:f>
              <c:numCache>
                <c:formatCode>#\ ##0.0</c:formatCode>
                <c:ptCount val="6"/>
                <c:pt idx="0">
                  <c:v>1.21</c:v>
                </c:pt>
                <c:pt idx="1">
                  <c:v>1.3339669999999999</c:v>
                </c:pt>
                <c:pt idx="2">
                  <c:v>1.5763240000000001</c:v>
                </c:pt>
                <c:pt idx="3">
                  <c:v>8.2194950000000002</c:v>
                </c:pt>
                <c:pt idx="4" formatCode="General">
                  <c:v>1.3</c:v>
                </c:pt>
                <c:pt idx="5" formatCode="General">
                  <c:v>1.4</c:v>
                </c:pt>
              </c:numCache>
            </c:numRef>
          </c:val>
          <c:smooth val="0"/>
          <c:extLst>
            <c:ext xmlns:c16="http://schemas.microsoft.com/office/drawing/2014/chart" uri="{C3380CC4-5D6E-409C-BE32-E72D297353CC}">
              <c16:uniqueId val="{00000002-F4DE-42B7-B3EA-E7C8CDF9BA54}"/>
            </c:ext>
          </c:extLst>
        </c:ser>
        <c:ser>
          <c:idx val="3"/>
          <c:order val="3"/>
          <c:tx>
            <c:strRef>
              <c:f>'Virs_zem_%_pa_gadiem'!$E$51:$E$52</c:f>
              <c:strCache>
                <c:ptCount val="2"/>
                <c:pt idx="0">
                  <c:v>Vidējā līgumcena (EUR) bez PVN</c:v>
                </c:pt>
                <c:pt idx="1">
                  <c:v>zem ES līgumcenu sliekšņa</c:v>
                </c:pt>
              </c:strCache>
            </c:strRef>
          </c:tx>
          <c:spPr>
            <a:ln w="28575" cap="rnd">
              <a:solidFill>
                <a:schemeClr val="accent4"/>
              </a:solidFill>
              <a:round/>
            </a:ln>
            <a:effectLst/>
          </c:spPr>
          <c:marker>
            <c:symbol val="none"/>
          </c:marker>
          <c:dPt>
            <c:idx val="3"/>
            <c:marker>
              <c:symbol val="none"/>
            </c:marker>
            <c:bubble3D val="0"/>
            <c:spPr>
              <a:ln w="28575" cap="rnd">
                <a:solidFill>
                  <a:srgbClr val="FF9900"/>
                </a:solidFill>
                <a:round/>
              </a:ln>
              <a:effectLst/>
            </c:spPr>
            <c:extLst>
              <c:ext xmlns:c16="http://schemas.microsoft.com/office/drawing/2014/chart" uri="{C3380CC4-5D6E-409C-BE32-E72D297353CC}">
                <c16:uniqueId val="{00000004-F4DE-42B7-B3EA-E7C8CDF9BA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'Virs_zem_%_pa_gadiem'!$A$53:$A$58</c:f>
              <c:strCache>
                <c:ptCount val="6"/>
                <c:pt idx="0">
                  <c:v>2012.gads</c:v>
                </c:pt>
                <c:pt idx="1">
                  <c:v>2013.gads</c:v>
                </c:pt>
                <c:pt idx="2">
                  <c:v>2014.gads</c:v>
                </c:pt>
                <c:pt idx="3">
                  <c:v>2015.gads</c:v>
                </c:pt>
                <c:pt idx="4">
                  <c:v>2016.gads</c:v>
                </c:pt>
                <c:pt idx="5">
                  <c:v>2017.gads</c:v>
                </c:pt>
              </c:strCache>
            </c:strRef>
          </c:cat>
          <c:val>
            <c:numRef>
              <c:f>'Virs_zem_%_pa_gadiem'!$E$53:$E$58</c:f>
              <c:numCache>
                <c:formatCode>#\ ##0.0</c:formatCode>
                <c:ptCount val="6"/>
                <c:pt idx="0">
                  <c:v>0.15625700000000001</c:v>
                </c:pt>
                <c:pt idx="1">
                  <c:v>0.14084199999999999</c:v>
                </c:pt>
                <c:pt idx="2">
                  <c:v>9.0619000000000005E-2</c:v>
                </c:pt>
                <c:pt idx="3">
                  <c:v>3.4999210000000001</c:v>
                </c:pt>
                <c:pt idx="4" formatCode="General">
                  <c:v>0.2</c:v>
                </c:pt>
                <c:pt idx="5" formatCode="General">
                  <c:v>0.1</c:v>
                </c:pt>
              </c:numCache>
            </c:numRef>
          </c:val>
          <c:smooth val="0"/>
          <c:extLst>
            <c:ext xmlns:c16="http://schemas.microsoft.com/office/drawing/2014/chart" uri="{C3380CC4-5D6E-409C-BE32-E72D297353CC}">
              <c16:uniqueId val="{00000003-F4DE-42B7-B3EA-E7C8CDF9BA54}"/>
            </c:ext>
          </c:extLst>
        </c:ser>
        <c:dLbls>
          <c:showLegendKey val="0"/>
          <c:showVal val="0"/>
          <c:showCatName val="0"/>
          <c:showSerName val="0"/>
          <c:showPercent val="0"/>
          <c:showBubbleSize val="0"/>
        </c:dLbls>
        <c:marker val="1"/>
        <c:smooth val="0"/>
        <c:axId val="480518120"/>
        <c:axId val="480512216"/>
      </c:lineChart>
      <c:catAx>
        <c:axId val="48052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3696"/>
        <c:crosses val="autoZero"/>
        <c:auto val="1"/>
        <c:lblAlgn val="ctr"/>
        <c:lblOffset val="100"/>
        <c:noMultiLvlLbl val="0"/>
      </c:catAx>
      <c:valAx>
        <c:axId val="480523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r>
                  <a:rPr lang="lv-LV"/>
                  <a:t>%</a:t>
                </a:r>
              </a:p>
            </c:rich>
          </c:tx>
          <c:overlay val="0"/>
          <c:spPr>
            <a:noFill/>
            <a:ln>
              <a:noFill/>
            </a:ln>
            <a:effectLst/>
          </c:spPr>
          <c:txPr>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3040"/>
        <c:crosses val="autoZero"/>
        <c:crossBetween val="between"/>
      </c:valAx>
      <c:valAx>
        <c:axId val="48051221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Milj.EUR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 ##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18120"/>
        <c:crosses val="max"/>
        <c:crossBetween val="between"/>
      </c:valAx>
      <c:catAx>
        <c:axId val="480518120"/>
        <c:scaling>
          <c:orientation val="minMax"/>
        </c:scaling>
        <c:delete val="1"/>
        <c:axPos val="b"/>
        <c:numFmt formatCode="General" sourceLinked="1"/>
        <c:majorTickMark val="out"/>
        <c:minorTickMark val="none"/>
        <c:tickLblPos val="nextTo"/>
        <c:crossAx val="4805122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lv-LV" sz="1400"/>
              <a:t>Iepirkumu skaita procentuālais īpatsvars pēc līgumcenu sliekšņa </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lv-LV"/>
        </a:p>
      </c:txPr>
    </c:title>
    <c:autoTitleDeleted val="0"/>
    <c:plotArea>
      <c:layout/>
      <c:barChart>
        <c:barDir val="col"/>
        <c:grouping val="clustered"/>
        <c:varyColors val="0"/>
        <c:ser>
          <c:idx val="0"/>
          <c:order val="0"/>
          <c:tx>
            <c:strRef>
              <c:f>'Virs_zem_%_pa_gadiem'!$B$43</c:f>
              <c:strCache>
                <c:ptCount val="1"/>
                <c:pt idx="0">
                  <c:v>virs ES līgumcenu sliekšņa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'Virs_zem_%_pa_gadiem'!$A$44:$A$49</c:f>
              <c:strCache>
                <c:ptCount val="6"/>
                <c:pt idx="0">
                  <c:v>2012.gads</c:v>
                </c:pt>
                <c:pt idx="1">
                  <c:v>2013.gads</c:v>
                </c:pt>
                <c:pt idx="2">
                  <c:v>2014.gads</c:v>
                </c:pt>
                <c:pt idx="3">
                  <c:v>2015.gads</c:v>
                </c:pt>
                <c:pt idx="4">
                  <c:v>2016.gads</c:v>
                </c:pt>
                <c:pt idx="5">
                  <c:v>2017.gads</c:v>
                </c:pt>
              </c:strCache>
            </c:strRef>
          </c:cat>
          <c:val>
            <c:numRef>
              <c:f>'Virs_zem_%_pa_gadiem'!$B$44:$B$49</c:f>
              <c:numCache>
                <c:formatCode>0.0%</c:formatCode>
                <c:ptCount val="6"/>
                <c:pt idx="0">
                  <c:v>0.33333333333333331</c:v>
                </c:pt>
                <c:pt idx="1">
                  <c:v>0.1</c:v>
                </c:pt>
                <c:pt idx="2">
                  <c:v>0.23529411764705882</c:v>
                </c:pt>
                <c:pt idx="3">
                  <c:v>0.28947368421052633</c:v>
                </c:pt>
                <c:pt idx="4">
                  <c:v>0.29629629629629628</c:v>
                </c:pt>
                <c:pt idx="5">
                  <c:v>0.5</c:v>
                </c:pt>
              </c:numCache>
            </c:numRef>
          </c:val>
          <c:extLst>
            <c:ext xmlns:c16="http://schemas.microsoft.com/office/drawing/2014/chart" uri="{C3380CC4-5D6E-409C-BE32-E72D297353CC}">
              <c16:uniqueId val="{00000000-119C-47F5-B0B6-2F11C73F9B60}"/>
            </c:ext>
          </c:extLst>
        </c:ser>
        <c:ser>
          <c:idx val="1"/>
          <c:order val="1"/>
          <c:tx>
            <c:strRef>
              <c:f>'Virs_zem_%_pa_gadiem'!$C$43</c:f>
              <c:strCache>
                <c:ptCount val="1"/>
                <c:pt idx="0">
                  <c:v>zem ES līgumcenu sliekšņa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'Virs_zem_%_pa_gadiem'!$A$44:$A$49</c:f>
              <c:strCache>
                <c:ptCount val="6"/>
                <c:pt idx="0">
                  <c:v>2012.gads</c:v>
                </c:pt>
                <c:pt idx="1">
                  <c:v>2013.gads</c:v>
                </c:pt>
                <c:pt idx="2">
                  <c:v>2014.gads</c:v>
                </c:pt>
                <c:pt idx="3">
                  <c:v>2015.gads</c:v>
                </c:pt>
                <c:pt idx="4">
                  <c:v>2016.gads</c:v>
                </c:pt>
                <c:pt idx="5">
                  <c:v>2017.gads</c:v>
                </c:pt>
              </c:strCache>
            </c:strRef>
          </c:cat>
          <c:val>
            <c:numRef>
              <c:f>'Virs_zem_%_pa_gadiem'!$C$44:$C$49</c:f>
              <c:numCache>
                <c:formatCode>0.0%</c:formatCode>
                <c:ptCount val="6"/>
                <c:pt idx="0">
                  <c:v>0.66666666666666663</c:v>
                </c:pt>
                <c:pt idx="1">
                  <c:v>0.9</c:v>
                </c:pt>
                <c:pt idx="2">
                  <c:v>0.76470588235294112</c:v>
                </c:pt>
                <c:pt idx="3">
                  <c:v>0.71052631578947367</c:v>
                </c:pt>
                <c:pt idx="4">
                  <c:v>0.70370370370370372</c:v>
                </c:pt>
                <c:pt idx="5">
                  <c:v>0.5</c:v>
                </c:pt>
              </c:numCache>
            </c:numRef>
          </c:val>
          <c:extLst>
            <c:ext xmlns:c16="http://schemas.microsoft.com/office/drawing/2014/chart" uri="{C3380CC4-5D6E-409C-BE32-E72D297353CC}">
              <c16:uniqueId val="{00000001-119C-47F5-B0B6-2F11C73F9B60}"/>
            </c:ext>
          </c:extLst>
        </c:ser>
        <c:dLbls>
          <c:showLegendKey val="0"/>
          <c:showVal val="0"/>
          <c:showCatName val="0"/>
          <c:showSerName val="0"/>
          <c:showPercent val="0"/>
          <c:showBubbleSize val="0"/>
        </c:dLbls>
        <c:gapWidth val="100"/>
        <c:overlap val="-24"/>
        <c:axId val="440244368"/>
        <c:axId val="440244040"/>
      </c:barChart>
      <c:catAx>
        <c:axId val="440244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40244040"/>
        <c:crosses val="autoZero"/>
        <c:auto val="1"/>
        <c:lblAlgn val="ctr"/>
        <c:lblOffset val="100"/>
        <c:noMultiLvlLbl val="0"/>
      </c:catAx>
      <c:valAx>
        <c:axId val="440244040"/>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40244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sz="1400" b="1"/>
              <a:t>Kopējās</a:t>
            </a:r>
            <a:r>
              <a:rPr lang="lv-LV" sz="1400" b="1" baseline="0"/>
              <a:t> līgumcenu summas procentuālais īpatsvars pēc līgumcenu sliekšņa </a:t>
            </a:r>
            <a:endParaRPr lang="lv-LV"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'Virs_zem_%_pa_gadiem'!$F$43</c:f>
              <c:strCache>
                <c:ptCount val="1"/>
                <c:pt idx="0">
                  <c:v>virs ES līgumcenu sliekšņa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'Virs_zem_%_pa_gadiem'!$E$44:$E$49</c:f>
              <c:strCache>
                <c:ptCount val="6"/>
                <c:pt idx="0">
                  <c:v>2012.gads</c:v>
                </c:pt>
                <c:pt idx="1">
                  <c:v>2013.gads</c:v>
                </c:pt>
                <c:pt idx="2">
                  <c:v>2014.gads</c:v>
                </c:pt>
                <c:pt idx="3">
                  <c:v>2015.gads</c:v>
                </c:pt>
                <c:pt idx="4">
                  <c:v>2016.gads</c:v>
                </c:pt>
                <c:pt idx="5">
                  <c:v>2017.gads</c:v>
                </c:pt>
              </c:strCache>
            </c:strRef>
          </c:cat>
          <c:val>
            <c:numRef>
              <c:f>'Virs_zem_%_pa_gadiem'!$F$44:$F$49</c:f>
              <c:numCache>
                <c:formatCode>0.0%</c:formatCode>
                <c:ptCount val="6"/>
                <c:pt idx="0">
                  <c:v>0.79473817646340195</c:v>
                </c:pt>
                <c:pt idx="1">
                  <c:v>0.51275993237856621</c:v>
                </c:pt>
                <c:pt idx="2">
                  <c:v>0.84257674506116775</c:v>
                </c:pt>
                <c:pt idx="3">
                  <c:v>0.48895851733046386</c:v>
                </c:pt>
                <c:pt idx="4">
                  <c:v>0.70845745102383173</c:v>
                </c:pt>
                <c:pt idx="5">
                  <c:v>0.90344031237264977</c:v>
                </c:pt>
              </c:numCache>
            </c:numRef>
          </c:val>
          <c:extLst>
            <c:ext xmlns:c16="http://schemas.microsoft.com/office/drawing/2014/chart" uri="{C3380CC4-5D6E-409C-BE32-E72D297353CC}">
              <c16:uniqueId val="{00000000-DAEF-4D4D-B860-FD497A17AC81}"/>
            </c:ext>
          </c:extLst>
        </c:ser>
        <c:ser>
          <c:idx val="1"/>
          <c:order val="1"/>
          <c:tx>
            <c:strRef>
              <c:f>'Virs_zem_%_pa_gadiem'!$G$43</c:f>
              <c:strCache>
                <c:ptCount val="1"/>
                <c:pt idx="0">
                  <c:v>zem ES līgumcenu sliekšņa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'Virs_zem_%_pa_gadiem'!$E$44:$E$49</c:f>
              <c:strCache>
                <c:ptCount val="6"/>
                <c:pt idx="0">
                  <c:v>2012.gads</c:v>
                </c:pt>
                <c:pt idx="1">
                  <c:v>2013.gads</c:v>
                </c:pt>
                <c:pt idx="2">
                  <c:v>2014.gads</c:v>
                </c:pt>
                <c:pt idx="3">
                  <c:v>2015.gads</c:v>
                </c:pt>
                <c:pt idx="4">
                  <c:v>2016.gads</c:v>
                </c:pt>
                <c:pt idx="5">
                  <c:v>2017.gads</c:v>
                </c:pt>
              </c:strCache>
            </c:strRef>
          </c:cat>
          <c:val>
            <c:numRef>
              <c:f>'Virs_zem_%_pa_gadiem'!$G$44:$G$49</c:f>
              <c:numCache>
                <c:formatCode>0.0%</c:formatCode>
                <c:ptCount val="6"/>
                <c:pt idx="0">
                  <c:v>0.20526182353659803</c:v>
                </c:pt>
                <c:pt idx="1">
                  <c:v>0.48724006762143374</c:v>
                </c:pt>
                <c:pt idx="2">
                  <c:v>0.15742325493883219</c:v>
                </c:pt>
                <c:pt idx="3">
                  <c:v>0.5110414826695362</c:v>
                </c:pt>
                <c:pt idx="4">
                  <c:v>0.29154254897616827</c:v>
                </c:pt>
                <c:pt idx="5">
                  <c:v>9.6559687627350205E-2</c:v>
                </c:pt>
              </c:numCache>
            </c:numRef>
          </c:val>
          <c:extLst>
            <c:ext xmlns:c16="http://schemas.microsoft.com/office/drawing/2014/chart" uri="{C3380CC4-5D6E-409C-BE32-E72D297353CC}">
              <c16:uniqueId val="{00000001-DAEF-4D4D-B860-FD497A17AC81}"/>
            </c:ext>
          </c:extLst>
        </c:ser>
        <c:dLbls>
          <c:showLegendKey val="0"/>
          <c:showVal val="0"/>
          <c:showCatName val="0"/>
          <c:showSerName val="0"/>
          <c:showPercent val="0"/>
          <c:showBubbleSize val="0"/>
        </c:dLbls>
        <c:gapWidth val="219"/>
        <c:overlap val="-27"/>
        <c:axId val="387011104"/>
        <c:axId val="387011432"/>
      </c:barChart>
      <c:catAx>
        <c:axId val="387011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7011432"/>
        <c:crosses val="autoZero"/>
        <c:auto val="1"/>
        <c:lblAlgn val="ctr"/>
        <c:lblOffset val="100"/>
        <c:noMultiLvlLbl val="0"/>
      </c:catAx>
      <c:valAx>
        <c:axId val="3870114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7011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b="1"/>
              <a:t>Decentralizēti</a:t>
            </a:r>
            <a:r>
              <a:rPr lang="lv-LV" b="1" baseline="0"/>
              <a:t> un centralizēti veikto iepirkumu procentuālais sadalījums un to vidējā līgumcena</a:t>
            </a:r>
            <a:endParaRPr lang="lv-LV" b="1"/>
          </a:p>
        </c:rich>
      </c:tx>
      <c:layout>
        <c:manualLayout>
          <c:xMode val="edge"/>
          <c:yMode val="edge"/>
          <c:x val="0.14115504806554965"/>
          <c:y val="1.7590149516270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'Dec_centr_%_pret_kopā'!$B$55:$B$56</c:f>
              <c:strCache>
                <c:ptCount val="2"/>
                <c:pt idx="0">
                  <c:v>Kopējā līgumcenu summa (EUR) bez PVN</c:v>
                </c:pt>
                <c:pt idx="1">
                  <c:v>Centralizētie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'Dec_centr_%_pret_kopā'!$A$57:$A$62</c:f>
              <c:strCache>
                <c:ptCount val="6"/>
                <c:pt idx="0">
                  <c:v>2012.gads</c:v>
                </c:pt>
                <c:pt idx="1">
                  <c:v>2013.gads</c:v>
                </c:pt>
                <c:pt idx="2">
                  <c:v>2014.gads</c:v>
                </c:pt>
                <c:pt idx="3">
                  <c:v>2015.gads</c:v>
                </c:pt>
                <c:pt idx="4">
                  <c:v>2016.gads</c:v>
                </c:pt>
                <c:pt idx="5">
                  <c:v>2017.gads</c:v>
                </c:pt>
              </c:strCache>
            </c:strRef>
          </c:cat>
          <c:val>
            <c:numRef>
              <c:f>'Dec_centr_%_pret_kopā'!$B$57:$B$62</c:f>
              <c:numCache>
                <c:formatCode>0.0%</c:formatCode>
                <c:ptCount val="6"/>
                <c:pt idx="0">
                  <c:v>1</c:v>
                </c:pt>
                <c:pt idx="1">
                  <c:v>0.4</c:v>
                </c:pt>
                <c:pt idx="2">
                  <c:v>0.58823529411764708</c:v>
                </c:pt>
                <c:pt idx="3">
                  <c:v>0.73684210526315785</c:v>
                </c:pt>
                <c:pt idx="4">
                  <c:v>0.59299999999999997</c:v>
                </c:pt>
                <c:pt idx="5">
                  <c:v>0.63900000000000001</c:v>
                </c:pt>
              </c:numCache>
            </c:numRef>
          </c:val>
          <c:extLst>
            <c:ext xmlns:c16="http://schemas.microsoft.com/office/drawing/2014/chart" uri="{C3380CC4-5D6E-409C-BE32-E72D297353CC}">
              <c16:uniqueId val="{00000000-1379-463C-A6E9-F4DBDB39C133}"/>
            </c:ext>
          </c:extLst>
        </c:ser>
        <c:ser>
          <c:idx val="1"/>
          <c:order val="1"/>
          <c:tx>
            <c:strRef>
              <c:f>'Dec_centr_%_pret_kopā'!$C$55:$C$56</c:f>
              <c:strCache>
                <c:ptCount val="2"/>
                <c:pt idx="0">
                  <c:v>Kopējā līgumcenu summa (EUR) bez PVN</c:v>
                </c:pt>
                <c:pt idx="1">
                  <c:v>Decentralizētie</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'Dec_centr_%_pret_kopā'!$A$57:$A$62</c:f>
              <c:strCache>
                <c:ptCount val="6"/>
                <c:pt idx="0">
                  <c:v>2012.gads</c:v>
                </c:pt>
                <c:pt idx="1">
                  <c:v>2013.gads</c:v>
                </c:pt>
                <c:pt idx="2">
                  <c:v>2014.gads</c:v>
                </c:pt>
                <c:pt idx="3">
                  <c:v>2015.gads</c:v>
                </c:pt>
                <c:pt idx="4">
                  <c:v>2016.gads</c:v>
                </c:pt>
                <c:pt idx="5">
                  <c:v>2017.gads</c:v>
                </c:pt>
              </c:strCache>
            </c:strRef>
          </c:cat>
          <c:val>
            <c:numRef>
              <c:f>'Dec_centr_%_pret_kopā'!$C$57:$C$62</c:f>
              <c:numCache>
                <c:formatCode>0.0%</c:formatCode>
                <c:ptCount val="6"/>
                <c:pt idx="0">
                  <c:v>0</c:v>
                </c:pt>
                <c:pt idx="1">
                  <c:v>0.6</c:v>
                </c:pt>
                <c:pt idx="2">
                  <c:v>0.41176470588235292</c:v>
                </c:pt>
                <c:pt idx="3">
                  <c:v>0.26315789473684209</c:v>
                </c:pt>
                <c:pt idx="4">
                  <c:v>0.40699999999999997</c:v>
                </c:pt>
                <c:pt idx="5">
                  <c:v>0.36099999999999999</c:v>
                </c:pt>
              </c:numCache>
            </c:numRef>
          </c:val>
          <c:extLst>
            <c:ext xmlns:c16="http://schemas.microsoft.com/office/drawing/2014/chart" uri="{C3380CC4-5D6E-409C-BE32-E72D297353CC}">
              <c16:uniqueId val="{00000001-1379-463C-A6E9-F4DBDB39C133}"/>
            </c:ext>
          </c:extLst>
        </c:ser>
        <c:dLbls>
          <c:showLegendKey val="0"/>
          <c:showVal val="0"/>
          <c:showCatName val="0"/>
          <c:showSerName val="0"/>
          <c:showPercent val="0"/>
          <c:showBubbleSize val="0"/>
        </c:dLbls>
        <c:gapWidth val="219"/>
        <c:overlap val="-27"/>
        <c:axId val="480528616"/>
        <c:axId val="480521072"/>
      </c:barChart>
      <c:lineChart>
        <c:grouping val="standard"/>
        <c:varyColors val="0"/>
        <c:ser>
          <c:idx val="2"/>
          <c:order val="2"/>
          <c:tx>
            <c:strRef>
              <c:f>'Dec_centr_%_pret_kopā'!$D$55:$D$56</c:f>
              <c:strCache>
                <c:ptCount val="2"/>
                <c:pt idx="0">
                  <c:v>Vidējā līgumcena </c:v>
                </c:pt>
                <c:pt idx="1">
                  <c:v>Centralizētie</c:v>
                </c:pt>
              </c:strCache>
            </c:strRef>
          </c:tx>
          <c:spPr>
            <a:ln w="28575" cap="rnd">
              <a:solidFill>
                <a:schemeClr val="accent1">
                  <a:lumMod val="75000"/>
                </a:schemeClr>
              </a:solidFill>
              <a:round/>
            </a:ln>
            <a:effectLst/>
          </c:spPr>
          <c:marker>
            <c:symbol val="none"/>
          </c:marker>
          <c:dLbls>
            <c:dLbl>
              <c:idx val="0"/>
              <c:layout>
                <c:manualLayout>
                  <c:x val="-8.2880076119150221E-3"/>
                  <c:y val="-4.22163588390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79-463C-A6E9-F4DBDB39C133}"/>
                </c:ext>
              </c:extLst>
            </c:dLbl>
            <c:dLbl>
              <c:idx val="1"/>
              <c:layout>
                <c:manualLayout>
                  <c:x val="2.6936024738723825E-2"/>
                  <c:y val="-2.11081794195250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79-463C-A6E9-F4DBDB39C1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'Dec_centr_%_pret_kopā'!$A$57:$A$62</c:f>
              <c:strCache>
                <c:ptCount val="6"/>
                <c:pt idx="0">
                  <c:v>2012.gads</c:v>
                </c:pt>
                <c:pt idx="1">
                  <c:v>2013.gads</c:v>
                </c:pt>
                <c:pt idx="2">
                  <c:v>2014.gads</c:v>
                </c:pt>
                <c:pt idx="3">
                  <c:v>2015.gads</c:v>
                </c:pt>
                <c:pt idx="4">
                  <c:v>2016.gads</c:v>
                </c:pt>
                <c:pt idx="5">
                  <c:v>2017.gads</c:v>
                </c:pt>
              </c:strCache>
            </c:strRef>
          </c:cat>
          <c:val>
            <c:numRef>
              <c:f>'Dec_centr_%_pret_kopā'!$D$57:$D$62</c:f>
              <c:numCache>
                <c:formatCode>#,##0</c:formatCode>
                <c:ptCount val="6"/>
                <c:pt idx="0">
                  <c:v>507505</c:v>
                </c:pt>
                <c:pt idx="1">
                  <c:v>346516</c:v>
                </c:pt>
                <c:pt idx="2">
                  <c:v>617270</c:v>
                </c:pt>
                <c:pt idx="3">
                  <c:v>5517533</c:v>
                </c:pt>
                <c:pt idx="4">
                  <c:v>737924</c:v>
                </c:pt>
                <c:pt idx="5">
                  <c:v>1136124</c:v>
                </c:pt>
              </c:numCache>
            </c:numRef>
          </c:val>
          <c:smooth val="0"/>
          <c:extLst>
            <c:ext xmlns:c16="http://schemas.microsoft.com/office/drawing/2014/chart" uri="{C3380CC4-5D6E-409C-BE32-E72D297353CC}">
              <c16:uniqueId val="{00000002-1379-463C-A6E9-F4DBDB39C133}"/>
            </c:ext>
          </c:extLst>
        </c:ser>
        <c:ser>
          <c:idx val="3"/>
          <c:order val="3"/>
          <c:tx>
            <c:strRef>
              <c:f>'Dec_centr_%_pret_kopā'!$E$55:$E$56</c:f>
              <c:strCache>
                <c:ptCount val="2"/>
                <c:pt idx="0">
                  <c:v>Vidējā līgumcena </c:v>
                </c:pt>
                <c:pt idx="1">
                  <c:v>Decentralizētie</c:v>
                </c:pt>
              </c:strCache>
            </c:strRef>
          </c:tx>
          <c:spPr>
            <a:ln w="28575" cap="rnd">
              <a:solidFill>
                <a:schemeClr val="accent4"/>
              </a:solidFill>
              <a:round/>
            </a:ln>
            <a:effectLst/>
          </c:spPr>
          <c:marker>
            <c:symbol val="none"/>
          </c:marker>
          <c:dLbls>
            <c:dLbl>
              <c:idx val="1"/>
              <c:layout>
                <c:manualLayout>
                  <c:x val="1.2432011417872533E-2"/>
                  <c:y val="-7.73966578715919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79-463C-A6E9-F4DBDB39C1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'Dec_centr_%_pret_kopā'!$A$57:$A$62</c:f>
              <c:strCache>
                <c:ptCount val="6"/>
                <c:pt idx="0">
                  <c:v>2012.gads</c:v>
                </c:pt>
                <c:pt idx="1">
                  <c:v>2013.gads</c:v>
                </c:pt>
                <c:pt idx="2">
                  <c:v>2014.gads</c:v>
                </c:pt>
                <c:pt idx="3">
                  <c:v>2015.gads</c:v>
                </c:pt>
                <c:pt idx="4">
                  <c:v>2016.gads</c:v>
                </c:pt>
                <c:pt idx="5">
                  <c:v>2017.gads</c:v>
                </c:pt>
              </c:strCache>
            </c:strRef>
          </c:cat>
          <c:val>
            <c:numRef>
              <c:f>'Dec_centr_%_pret_kopā'!$E$57:$E$62</c:f>
              <c:numCache>
                <c:formatCode>#,##0</c:formatCode>
                <c:ptCount val="6"/>
                <c:pt idx="0">
                  <c:v>0</c:v>
                </c:pt>
                <c:pt idx="1">
                  <c:v>202580</c:v>
                </c:pt>
                <c:pt idx="2">
                  <c:v>187235</c:v>
                </c:pt>
                <c:pt idx="3">
                  <c:v>3042139</c:v>
                </c:pt>
                <c:pt idx="4">
                  <c:v>318144</c:v>
                </c:pt>
                <c:pt idx="5">
                  <c:v>191427</c:v>
                </c:pt>
              </c:numCache>
            </c:numRef>
          </c:val>
          <c:smooth val="0"/>
          <c:extLst>
            <c:ext xmlns:c16="http://schemas.microsoft.com/office/drawing/2014/chart" uri="{C3380CC4-5D6E-409C-BE32-E72D297353CC}">
              <c16:uniqueId val="{00000003-1379-463C-A6E9-F4DBDB39C133}"/>
            </c:ext>
          </c:extLst>
        </c:ser>
        <c:dLbls>
          <c:showLegendKey val="0"/>
          <c:showVal val="0"/>
          <c:showCatName val="0"/>
          <c:showSerName val="0"/>
          <c:showPercent val="0"/>
          <c:showBubbleSize val="0"/>
        </c:dLbls>
        <c:marker val="1"/>
        <c:smooth val="0"/>
        <c:axId val="480515168"/>
        <c:axId val="480514840"/>
      </c:lineChart>
      <c:catAx>
        <c:axId val="48052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1072"/>
        <c:crosses val="autoZero"/>
        <c:auto val="1"/>
        <c:lblAlgn val="ctr"/>
        <c:lblOffset val="100"/>
        <c:noMultiLvlLbl val="0"/>
      </c:catAx>
      <c:valAx>
        <c:axId val="4805210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8616"/>
        <c:crosses val="autoZero"/>
        <c:crossBetween val="between"/>
      </c:valAx>
      <c:valAx>
        <c:axId val="48051484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15168"/>
        <c:crosses val="max"/>
        <c:crossBetween val="between"/>
      </c:valAx>
      <c:catAx>
        <c:axId val="480515168"/>
        <c:scaling>
          <c:orientation val="minMax"/>
        </c:scaling>
        <c:delete val="1"/>
        <c:axPos val="b"/>
        <c:numFmt formatCode="General" sourceLinked="1"/>
        <c:majorTickMark val="out"/>
        <c:minorTickMark val="none"/>
        <c:tickLblPos val="nextTo"/>
        <c:crossAx val="4805148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baseline="0"/>
              <a:t>Skaita dinamika pēc valstiskās piederības pa gadiem</a:t>
            </a:r>
            <a:endParaRPr lang="lv-LV" sz="12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7639493744114335"/>
          <c:y val="0.12861861227078158"/>
          <c:w val="0.82360506255885668"/>
          <c:h val="0.52668128732230612"/>
        </c:manualLayout>
      </c:layout>
      <c:barChart>
        <c:barDir val="col"/>
        <c:grouping val="clustered"/>
        <c:varyColors val="0"/>
        <c:ser>
          <c:idx val="0"/>
          <c:order val="0"/>
          <c:tx>
            <c:strRef>
              <c:f>Dinamika_valstu_dalījumā!$B$38</c:f>
              <c:strCache>
                <c:ptCount val="1"/>
                <c:pt idx="0">
                  <c:v>Latvija</c:v>
                </c:pt>
              </c:strCache>
            </c:strRef>
          </c:tx>
          <c:spPr>
            <a:solidFill>
              <a:schemeClr val="accent1"/>
            </a:solidFill>
            <a:ln>
              <a:noFill/>
            </a:ln>
            <a:effectLst/>
          </c:spPr>
          <c:invertIfNegative val="0"/>
          <c:dLbls>
            <c:delete val="1"/>
          </c:dLbls>
          <c:cat>
            <c:strRef>
              <c:f>Dinamika_valstu_dalījumā!$A$39:$A$44</c:f>
              <c:strCache>
                <c:ptCount val="6"/>
                <c:pt idx="0">
                  <c:v>2012.gads</c:v>
                </c:pt>
                <c:pt idx="1">
                  <c:v>2013.gads</c:v>
                </c:pt>
                <c:pt idx="2">
                  <c:v>2014.gads</c:v>
                </c:pt>
                <c:pt idx="3">
                  <c:v>2015.gads</c:v>
                </c:pt>
                <c:pt idx="4">
                  <c:v>2016.gads</c:v>
                </c:pt>
                <c:pt idx="5">
                  <c:v>2017.gads</c:v>
                </c:pt>
              </c:strCache>
            </c:strRef>
          </c:cat>
          <c:val>
            <c:numRef>
              <c:f>Dinamika_valstu_dalījumā!$B$39:$B$44</c:f>
              <c:numCache>
                <c:formatCode>General</c:formatCode>
                <c:ptCount val="6"/>
                <c:pt idx="0">
                  <c:v>0</c:v>
                </c:pt>
                <c:pt idx="1">
                  <c:v>0</c:v>
                </c:pt>
                <c:pt idx="2">
                  <c:v>0</c:v>
                </c:pt>
                <c:pt idx="3">
                  <c:v>8</c:v>
                </c:pt>
                <c:pt idx="4">
                  <c:v>3</c:v>
                </c:pt>
                <c:pt idx="5">
                  <c:v>7</c:v>
                </c:pt>
              </c:numCache>
            </c:numRef>
          </c:val>
          <c:extLst>
            <c:ext xmlns:c16="http://schemas.microsoft.com/office/drawing/2014/chart" uri="{C3380CC4-5D6E-409C-BE32-E72D297353CC}">
              <c16:uniqueId val="{00000000-99C2-4884-A789-B9AB76E80188}"/>
            </c:ext>
          </c:extLst>
        </c:ser>
        <c:ser>
          <c:idx val="1"/>
          <c:order val="1"/>
          <c:tx>
            <c:strRef>
              <c:f>Dinamika_valstu_dalījumā!$C$38</c:f>
              <c:strCache>
                <c:ptCount val="1"/>
                <c:pt idx="0">
                  <c:v>Lietuva</c:v>
                </c:pt>
              </c:strCache>
            </c:strRef>
          </c:tx>
          <c:spPr>
            <a:solidFill>
              <a:schemeClr val="accent2"/>
            </a:solidFill>
            <a:ln>
              <a:noFill/>
            </a:ln>
            <a:effectLst/>
          </c:spPr>
          <c:invertIfNegative val="0"/>
          <c:dLbls>
            <c:delete val="1"/>
          </c:dLbls>
          <c:cat>
            <c:strRef>
              <c:f>Dinamika_valstu_dalījumā!$A$39:$A$44</c:f>
              <c:strCache>
                <c:ptCount val="6"/>
                <c:pt idx="0">
                  <c:v>2012.gads</c:v>
                </c:pt>
                <c:pt idx="1">
                  <c:v>2013.gads</c:v>
                </c:pt>
                <c:pt idx="2">
                  <c:v>2014.gads</c:v>
                </c:pt>
                <c:pt idx="3">
                  <c:v>2015.gads</c:v>
                </c:pt>
                <c:pt idx="4">
                  <c:v>2016.gads</c:v>
                </c:pt>
                <c:pt idx="5">
                  <c:v>2017.gads</c:v>
                </c:pt>
              </c:strCache>
            </c:strRef>
          </c:cat>
          <c:val>
            <c:numRef>
              <c:f>Dinamika_valstu_dalījumā!$C$39:$C$44</c:f>
              <c:numCache>
                <c:formatCode>General</c:formatCode>
                <c:ptCount val="6"/>
                <c:pt idx="0">
                  <c:v>1</c:v>
                </c:pt>
                <c:pt idx="1">
                  <c:v>0</c:v>
                </c:pt>
                <c:pt idx="2">
                  <c:v>2</c:v>
                </c:pt>
                <c:pt idx="3">
                  <c:v>1</c:v>
                </c:pt>
                <c:pt idx="4">
                  <c:v>1</c:v>
                </c:pt>
                <c:pt idx="5">
                  <c:v>1</c:v>
                </c:pt>
              </c:numCache>
            </c:numRef>
          </c:val>
          <c:extLst>
            <c:ext xmlns:c16="http://schemas.microsoft.com/office/drawing/2014/chart" uri="{C3380CC4-5D6E-409C-BE32-E72D297353CC}">
              <c16:uniqueId val="{00000001-99C2-4884-A789-B9AB76E80188}"/>
            </c:ext>
          </c:extLst>
        </c:ser>
        <c:ser>
          <c:idx val="2"/>
          <c:order val="2"/>
          <c:tx>
            <c:strRef>
              <c:f>Dinamika_valstu_dalījumā!$D$38</c:f>
              <c:strCache>
                <c:ptCount val="1"/>
                <c:pt idx="0">
                  <c:v>Zviedrija</c:v>
                </c:pt>
              </c:strCache>
            </c:strRef>
          </c:tx>
          <c:spPr>
            <a:solidFill>
              <a:schemeClr val="accent3"/>
            </a:solidFill>
            <a:ln>
              <a:noFill/>
            </a:ln>
            <a:effectLst/>
          </c:spPr>
          <c:invertIfNegative val="0"/>
          <c:dLbls>
            <c:delete val="1"/>
          </c:dLbls>
          <c:cat>
            <c:strRef>
              <c:f>Dinamika_valstu_dalījumā!$A$39:$A$44</c:f>
              <c:strCache>
                <c:ptCount val="6"/>
                <c:pt idx="0">
                  <c:v>2012.gads</c:v>
                </c:pt>
                <c:pt idx="1">
                  <c:v>2013.gads</c:v>
                </c:pt>
                <c:pt idx="2">
                  <c:v>2014.gads</c:v>
                </c:pt>
                <c:pt idx="3">
                  <c:v>2015.gads</c:v>
                </c:pt>
                <c:pt idx="4">
                  <c:v>2016.gads</c:v>
                </c:pt>
                <c:pt idx="5">
                  <c:v>2017.gads</c:v>
                </c:pt>
              </c:strCache>
            </c:strRef>
          </c:cat>
          <c:val>
            <c:numRef>
              <c:f>Dinamika_valstu_dalījumā!$D$39:$D$44</c:f>
              <c:numCache>
                <c:formatCode>General</c:formatCode>
                <c:ptCount val="6"/>
                <c:pt idx="0">
                  <c:v>0</c:v>
                </c:pt>
                <c:pt idx="1">
                  <c:v>1</c:v>
                </c:pt>
                <c:pt idx="2">
                  <c:v>1</c:v>
                </c:pt>
                <c:pt idx="3">
                  <c:v>2</c:v>
                </c:pt>
                <c:pt idx="4">
                  <c:v>1</c:v>
                </c:pt>
                <c:pt idx="5">
                  <c:v>2</c:v>
                </c:pt>
              </c:numCache>
            </c:numRef>
          </c:val>
          <c:extLst>
            <c:ext xmlns:c16="http://schemas.microsoft.com/office/drawing/2014/chart" uri="{C3380CC4-5D6E-409C-BE32-E72D297353CC}">
              <c16:uniqueId val="{00000002-99C2-4884-A789-B9AB76E80188}"/>
            </c:ext>
          </c:extLst>
        </c:ser>
        <c:ser>
          <c:idx val="3"/>
          <c:order val="3"/>
          <c:tx>
            <c:strRef>
              <c:f>Dinamika_valstu_dalījumā!$E$38</c:f>
              <c:strCache>
                <c:ptCount val="1"/>
                <c:pt idx="0">
                  <c:v>Francija</c:v>
                </c:pt>
              </c:strCache>
            </c:strRef>
          </c:tx>
          <c:spPr>
            <a:solidFill>
              <a:schemeClr val="accent4"/>
            </a:solidFill>
            <a:ln>
              <a:noFill/>
            </a:ln>
            <a:effectLst/>
          </c:spPr>
          <c:invertIfNegative val="0"/>
          <c:dLbls>
            <c:delete val="1"/>
          </c:dLbls>
          <c:cat>
            <c:strRef>
              <c:f>Dinamika_valstu_dalījumā!$A$39:$A$44</c:f>
              <c:strCache>
                <c:ptCount val="6"/>
                <c:pt idx="0">
                  <c:v>2012.gads</c:v>
                </c:pt>
                <c:pt idx="1">
                  <c:v>2013.gads</c:v>
                </c:pt>
                <c:pt idx="2">
                  <c:v>2014.gads</c:v>
                </c:pt>
                <c:pt idx="3">
                  <c:v>2015.gads</c:v>
                </c:pt>
                <c:pt idx="4">
                  <c:v>2016.gads</c:v>
                </c:pt>
                <c:pt idx="5">
                  <c:v>2017.gads</c:v>
                </c:pt>
              </c:strCache>
            </c:strRef>
          </c:cat>
          <c:val>
            <c:numRef>
              <c:f>Dinamika_valstu_dalījumā!$E$39:$E$44</c:f>
              <c:numCache>
                <c:formatCode>General</c:formatCode>
                <c:ptCount val="6"/>
                <c:pt idx="0">
                  <c:v>0</c:v>
                </c:pt>
                <c:pt idx="1">
                  <c:v>0</c:v>
                </c:pt>
                <c:pt idx="2">
                  <c:v>0</c:v>
                </c:pt>
                <c:pt idx="3">
                  <c:v>1</c:v>
                </c:pt>
                <c:pt idx="4">
                  <c:v>0</c:v>
                </c:pt>
                <c:pt idx="5">
                  <c:v>0</c:v>
                </c:pt>
              </c:numCache>
            </c:numRef>
          </c:val>
          <c:extLst>
            <c:ext xmlns:c16="http://schemas.microsoft.com/office/drawing/2014/chart" uri="{C3380CC4-5D6E-409C-BE32-E72D297353CC}">
              <c16:uniqueId val="{00000003-99C2-4884-A789-B9AB76E80188}"/>
            </c:ext>
          </c:extLst>
        </c:ser>
        <c:ser>
          <c:idx val="4"/>
          <c:order val="4"/>
          <c:tx>
            <c:strRef>
              <c:f>Dinamika_valstu_dalījumā!$F$38</c:f>
              <c:strCache>
                <c:ptCount val="1"/>
                <c:pt idx="0">
                  <c:v>Beļģija</c:v>
                </c:pt>
              </c:strCache>
            </c:strRef>
          </c:tx>
          <c:spPr>
            <a:solidFill>
              <a:schemeClr val="accent5"/>
            </a:solidFill>
            <a:ln>
              <a:noFill/>
            </a:ln>
            <a:effectLst/>
          </c:spPr>
          <c:invertIfNegative val="0"/>
          <c:dLbls>
            <c:delete val="1"/>
          </c:dLbls>
          <c:cat>
            <c:strRef>
              <c:f>Dinamika_valstu_dalījumā!$A$39:$A$44</c:f>
              <c:strCache>
                <c:ptCount val="6"/>
                <c:pt idx="0">
                  <c:v>2012.gads</c:v>
                </c:pt>
                <c:pt idx="1">
                  <c:v>2013.gads</c:v>
                </c:pt>
                <c:pt idx="2">
                  <c:v>2014.gads</c:v>
                </c:pt>
                <c:pt idx="3">
                  <c:v>2015.gads</c:v>
                </c:pt>
                <c:pt idx="4">
                  <c:v>2016.gads</c:v>
                </c:pt>
                <c:pt idx="5">
                  <c:v>2017.gads</c:v>
                </c:pt>
              </c:strCache>
            </c:strRef>
          </c:cat>
          <c:val>
            <c:numRef>
              <c:f>Dinamika_valstu_dalījumā!$F$39:$F$44</c:f>
              <c:numCache>
                <c:formatCode>General</c:formatCode>
                <c:ptCount val="6"/>
                <c:pt idx="0">
                  <c:v>0</c:v>
                </c:pt>
                <c:pt idx="1">
                  <c:v>0</c:v>
                </c:pt>
                <c:pt idx="2">
                  <c:v>1</c:v>
                </c:pt>
                <c:pt idx="3">
                  <c:v>0</c:v>
                </c:pt>
                <c:pt idx="4">
                  <c:v>0</c:v>
                </c:pt>
                <c:pt idx="5">
                  <c:v>1</c:v>
                </c:pt>
              </c:numCache>
            </c:numRef>
          </c:val>
          <c:extLst>
            <c:ext xmlns:c16="http://schemas.microsoft.com/office/drawing/2014/chart" uri="{C3380CC4-5D6E-409C-BE32-E72D297353CC}">
              <c16:uniqueId val="{00000004-99C2-4884-A789-B9AB76E80188}"/>
            </c:ext>
          </c:extLst>
        </c:ser>
        <c:ser>
          <c:idx val="5"/>
          <c:order val="5"/>
          <c:tx>
            <c:strRef>
              <c:f>Dinamika_valstu_dalījumā!$G$38</c:f>
              <c:strCache>
                <c:ptCount val="1"/>
                <c:pt idx="0">
                  <c:v>Lielbritānija</c:v>
                </c:pt>
              </c:strCache>
            </c:strRef>
          </c:tx>
          <c:spPr>
            <a:solidFill>
              <a:schemeClr val="accent6"/>
            </a:solidFill>
            <a:ln>
              <a:noFill/>
            </a:ln>
            <a:effectLst/>
          </c:spPr>
          <c:invertIfNegative val="0"/>
          <c:dLbls>
            <c:delete val="1"/>
          </c:dLbls>
          <c:cat>
            <c:strRef>
              <c:f>Dinamika_valstu_dalījumā!$A$39:$A$44</c:f>
              <c:strCache>
                <c:ptCount val="6"/>
                <c:pt idx="0">
                  <c:v>2012.gads</c:v>
                </c:pt>
                <c:pt idx="1">
                  <c:v>2013.gads</c:v>
                </c:pt>
                <c:pt idx="2">
                  <c:v>2014.gads</c:v>
                </c:pt>
                <c:pt idx="3">
                  <c:v>2015.gads</c:v>
                </c:pt>
                <c:pt idx="4">
                  <c:v>2016.gads</c:v>
                </c:pt>
                <c:pt idx="5">
                  <c:v>2017.gads</c:v>
                </c:pt>
              </c:strCache>
            </c:strRef>
          </c:cat>
          <c:val>
            <c:numRef>
              <c:f>Dinamika_valstu_dalījumā!$G$39:$G$44</c:f>
              <c:numCache>
                <c:formatCode>General</c:formatCode>
                <c:ptCount val="6"/>
                <c:pt idx="0">
                  <c:v>0</c:v>
                </c:pt>
                <c:pt idx="1">
                  <c:v>0</c:v>
                </c:pt>
                <c:pt idx="2">
                  <c:v>0</c:v>
                </c:pt>
                <c:pt idx="3">
                  <c:v>1</c:v>
                </c:pt>
                <c:pt idx="4">
                  <c:v>0</c:v>
                </c:pt>
                <c:pt idx="5">
                  <c:v>1</c:v>
                </c:pt>
              </c:numCache>
            </c:numRef>
          </c:val>
          <c:extLst>
            <c:ext xmlns:c16="http://schemas.microsoft.com/office/drawing/2014/chart" uri="{C3380CC4-5D6E-409C-BE32-E72D297353CC}">
              <c16:uniqueId val="{00000005-99C2-4884-A789-B9AB76E80188}"/>
            </c:ext>
          </c:extLst>
        </c:ser>
        <c:ser>
          <c:idx val="6"/>
          <c:order val="6"/>
          <c:tx>
            <c:strRef>
              <c:f>Dinamika_valstu_dalījumā!$M$38</c:f>
              <c:strCache>
                <c:ptCount val="1"/>
                <c:pt idx="0">
                  <c:v>ASV</c:v>
                </c:pt>
              </c:strCache>
            </c:strRef>
          </c:tx>
          <c:spPr>
            <a:solidFill>
              <a:schemeClr val="accent1">
                <a:lumMod val="60000"/>
              </a:schemeClr>
            </a:solidFill>
            <a:ln>
              <a:noFill/>
            </a:ln>
            <a:effectLst/>
          </c:spPr>
          <c:invertIfNegative val="0"/>
          <c:dLbls>
            <c:delete val="1"/>
          </c:dLbls>
          <c:cat>
            <c:strRef>
              <c:f>Dinamika_valstu_dalījumā!$A$39:$A$44</c:f>
              <c:strCache>
                <c:ptCount val="6"/>
                <c:pt idx="0">
                  <c:v>2012.gads</c:v>
                </c:pt>
                <c:pt idx="1">
                  <c:v>2013.gads</c:v>
                </c:pt>
                <c:pt idx="2">
                  <c:v>2014.gads</c:v>
                </c:pt>
                <c:pt idx="3">
                  <c:v>2015.gads</c:v>
                </c:pt>
                <c:pt idx="4">
                  <c:v>2016.gads</c:v>
                </c:pt>
                <c:pt idx="5">
                  <c:v>2017.gads</c:v>
                </c:pt>
              </c:strCache>
            </c:strRef>
          </c:cat>
          <c:val>
            <c:numRef>
              <c:f>Dinamika_valstu_dalījumā!$M$39:$M$44</c:f>
              <c:numCache>
                <c:formatCode>General</c:formatCode>
                <c:ptCount val="6"/>
                <c:pt idx="0">
                  <c:v>0</c:v>
                </c:pt>
                <c:pt idx="1">
                  <c:v>1</c:v>
                </c:pt>
                <c:pt idx="2">
                  <c:v>1</c:v>
                </c:pt>
                <c:pt idx="3">
                  <c:v>2</c:v>
                </c:pt>
                <c:pt idx="4">
                  <c:v>0</c:v>
                </c:pt>
                <c:pt idx="5">
                  <c:v>2</c:v>
                </c:pt>
              </c:numCache>
            </c:numRef>
          </c:val>
          <c:extLst>
            <c:ext xmlns:c16="http://schemas.microsoft.com/office/drawing/2014/chart" uri="{C3380CC4-5D6E-409C-BE32-E72D297353CC}">
              <c16:uniqueId val="{00000006-99C2-4884-A789-B9AB76E80188}"/>
            </c:ext>
          </c:extLst>
        </c:ser>
        <c:ser>
          <c:idx val="7"/>
          <c:order val="7"/>
          <c:tx>
            <c:strRef>
              <c:f>Dinamika_valstu_dalījumā!$N$38</c:f>
              <c:strCache>
                <c:ptCount val="1"/>
                <c:pt idx="0">
                  <c:v>Krievija</c:v>
                </c:pt>
              </c:strCache>
            </c:strRef>
          </c:tx>
          <c:spPr>
            <a:solidFill>
              <a:schemeClr val="accent2">
                <a:lumMod val="60000"/>
              </a:schemeClr>
            </a:solidFill>
            <a:ln>
              <a:noFill/>
            </a:ln>
            <a:effectLst/>
          </c:spPr>
          <c:invertIfNegative val="0"/>
          <c:dLbls>
            <c:delete val="1"/>
          </c:dLbls>
          <c:cat>
            <c:strRef>
              <c:f>Dinamika_valstu_dalījumā!$A$39:$A$44</c:f>
              <c:strCache>
                <c:ptCount val="6"/>
                <c:pt idx="0">
                  <c:v>2012.gads</c:v>
                </c:pt>
                <c:pt idx="1">
                  <c:v>2013.gads</c:v>
                </c:pt>
                <c:pt idx="2">
                  <c:v>2014.gads</c:v>
                </c:pt>
                <c:pt idx="3">
                  <c:v>2015.gads</c:v>
                </c:pt>
                <c:pt idx="4">
                  <c:v>2016.gads</c:v>
                </c:pt>
                <c:pt idx="5">
                  <c:v>2017.gads</c:v>
                </c:pt>
              </c:strCache>
            </c:strRef>
          </c:cat>
          <c:val>
            <c:numRef>
              <c:f>Dinamika_valstu_dalījumā!$N$39:$N$44</c:f>
              <c:numCache>
                <c:formatCode>General</c:formatCode>
                <c:ptCount val="6"/>
                <c:pt idx="0">
                  <c:v>0</c:v>
                </c:pt>
                <c:pt idx="1">
                  <c:v>0</c:v>
                </c:pt>
                <c:pt idx="2">
                  <c:v>0</c:v>
                </c:pt>
                <c:pt idx="3">
                  <c:v>1</c:v>
                </c:pt>
                <c:pt idx="4">
                  <c:v>0</c:v>
                </c:pt>
                <c:pt idx="5">
                  <c:v>0</c:v>
                </c:pt>
              </c:numCache>
            </c:numRef>
          </c:val>
          <c:extLst>
            <c:ext xmlns:c16="http://schemas.microsoft.com/office/drawing/2014/chart" uri="{C3380CC4-5D6E-409C-BE32-E72D297353CC}">
              <c16:uniqueId val="{00000007-99C2-4884-A789-B9AB76E80188}"/>
            </c:ext>
          </c:extLst>
        </c:ser>
        <c:ser>
          <c:idx val="8"/>
          <c:order val="8"/>
          <c:tx>
            <c:strRef>
              <c:f>Dinamika_valstu_dalījumā!$P$38</c:f>
              <c:strCache>
                <c:ptCount val="1"/>
                <c:pt idx="0">
                  <c:v>Norvēģija</c:v>
                </c:pt>
              </c:strCache>
            </c:strRef>
          </c:tx>
          <c:spPr>
            <a:solidFill>
              <a:schemeClr val="accent3">
                <a:lumMod val="60000"/>
              </a:schemeClr>
            </a:solidFill>
            <a:ln>
              <a:noFill/>
            </a:ln>
            <a:effectLst/>
          </c:spPr>
          <c:invertIfNegative val="0"/>
          <c:dLbls>
            <c:delete val="1"/>
          </c:dLbls>
          <c:cat>
            <c:strRef>
              <c:f>Dinamika_valstu_dalījumā!$A$39:$A$44</c:f>
              <c:strCache>
                <c:ptCount val="6"/>
                <c:pt idx="0">
                  <c:v>2012.gads</c:v>
                </c:pt>
                <c:pt idx="1">
                  <c:v>2013.gads</c:v>
                </c:pt>
                <c:pt idx="2">
                  <c:v>2014.gads</c:v>
                </c:pt>
                <c:pt idx="3">
                  <c:v>2015.gads</c:v>
                </c:pt>
                <c:pt idx="4">
                  <c:v>2016.gads</c:v>
                </c:pt>
                <c:pt idx="5">
                  <c:v>2017.gads</c:v>
                </c:pt>
              </c:strCache>
            </c:strRef>
          </c:cat>
          <c:val>
            <c:numRef>
              <c:f>Dinamika_valstu_dalījumā!$P$39:$P$44</c:f>
              <c:numCache>
                <c:formatCode>General</c:formatCode>
                <c:ptCount val="6"/>
                <c:pt idx="0">
                  <c:v>0</c:v>
                </c:pt>
                <c:pt idx="1">
                  <c:v>0</c:v>
                </c:pt>
                <c:pt idx="2">
                  <c:v>0</c:v>
                </c:pt>
                <c:pt idx="3">
                  <c:v>1</c:v>
                </c:pt>
                <c:pt idx="4">
                  <c:v>1</c:v>
                </c:pt>
                <c:pt idx="5">
                  <c:v>0</c:v>
                </c:pt>
              </c:numCache>
            </c:numRef>
          </c:val>
          <c:extLst>
            <c:ext xmlns:c16="http://schemas.microsoft.com/office/drawing/2014/chart" uri="{C3380CC4-5D6E-409C-BE32-E72D297353CC}">
              <c16:uniqueId val="{00000008-99C2-4884-A789-B9AB76E80188}"/>
            </c:ext>
          </c:extLst>
        </c:ser>
        <c:ser>
          <c:idx val="10"/>
          <c:order val="10"/>
          <c:tx>
            <c:strRef>
              <c:f>Dinamika_valstu_dalījumā!$H$38</c:f>
              <c:strCache>
                <c:ptCount val="1"/>
                <c:pt idx="0">
                  <c:v>Vācija</c:v>
                </c:pt>
              </c:strCache>
            </c:strRef>
          </c:tx>
          <c:spPr>
            <a:solidFill>
              <a:schemeClr val="accent5">
                <a:lumMod val="60000"/>
              </a:schemeClr>
            </a:solidFill>
            <a:ln>
              <a:noFill/>
            </a:ln>
            <a:effectLst/>
          </c:spPr>
          <c:invertIfNegative val="0"/>
          <c:dLbls>
            <c:delete val="1"/>
          </c:dLbls>
          <c:val>
            <c:numRef>
              <c:f>Dinamika_valstu_dalījumā!$H$39:$H$44</c:f>
              <c:numCache>
                <c:formatCode>General</c:formatCode>
                <c:ptCount val="6"/>
                <c:pt idx="0">
                  <c:v>0</c:v>
                </c:pt>
                <c:pt idx="1">
                  <c:v>0</c:v>
                </c:pt>
                <c:pt idx="2">
                  <c:v>0</c:v>
                </c:pt>
                <c:pt idx="3">
                  <c:v>0</c:v>
                </c:pt>
                <c:pt idx="4">
                  <c:v>1</c:v>
                </c:pt>
                <c:pt idx="5">
                  <c:v>3</c:v>
                </c:pt>
              </c:numCache>
            </c:numRef>
          </c:val>
          <c:extLst>
            <c:ext xmlns:c16="http://schemas.microsoft.com/office/drawing/2014/chart" uri="{C3380CC4-5D6E-409C-BE32-E72D297353CC}">
              <c16:uniqueId val="{00000009-F1D9-4F69-B214-6651E9181721}"/>
            </c:ext>
          </c:extLst>
        </c:ser>
        <c:ser>
          <c:idx val="11"/>
          <c:order val="11"/>
          <c:tx>
            <c:strRef>
              <c:f>Dinamika_valstu_dalījumā!$I$38</c:f>
              <c:strCache>
                <c:ptCount val="1"/>
                <c:pt idx="0">
                  <c:v>Polija</c:v>
                </c:pt>
              </c:strCache>
            </c:strRef>
          </c:tx>
          <c:spPr>
            <a:solidFill>
              <a:schemeClr val="accent6">
                <a:lumMod val="60000"/>
              </a:schemeClr>
            </a:solidFill>
            <a:ln>
              <a:noFill/>
            </a:ln>
            <a:effectLst/>
          </c:spPr>
          <c:invertIfNegative val="0"/>
          <c:dLbls>
            <c:delete val="1"/>
          </c:dLbls>
          <c:val>
            <c:numRef>
              <c:f>Dinamika_valstu_dalījumā!$I$39:$I$44</c:f>
              <c:numCache>
                <c:formatCode>General</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0A-F1D9-4F69-B214-6651E9181721}"/>
            </c:ext>
          </c:extLst>
        </c:ser>
        <c:ser>
          <c:idx val="12"/>
          <c:order val="12"/>
          <c:tx>
            <c:strRef>
              <c:f>Dinamika_valstu_dalījumā!$J$38</c:f>
              <c:strCache>
                <c:ptCount val="1"/>
                <c:pt idx="0">
                  <c:v>Dānija</c:v>
                </c:pt>
              </c:strCache>
            </c:strRef>
          </c:tx>
          <c:spPr>
            <a:solidFill>
              <a:schemeClr val="accent1">
                <a:lumMod val="80000"/>
                <a:lumOff val="20000"/>
              </a:schemeClr>
            </a:solidFill>
            <a:ln>
              <a:noFill/>
            </a:ln>
            <a:effectLst/>
          </c:spPr>
          <c:invertIfNegative val="0"/>
          <c:dLbls>
            <c:delete val="1"/>
          </c:dLbls>
          <c:val>
            <c:numRef>
              <c:f>Dinamika_valstu_dalījumā!$J$39:$J$44</c:f>
              <c:numCache>
                <c:formatCode>General</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0B-F1D9-4F69-B214-6651E9181721}"/>
            </c:ext>
          </c:extLst>
        </c:ser>
        <c:ser>
          <c:idx val="13"/>
          <c:order val="13"/>
          <c:tx>
            <c:strRef>
              <c:f>Dinamika_valstu_dalījumā!$K$38</c:f>
              <c:strCache>
                <c:ptCount val="1"/>
                <c:pt idx="0">
                  <c:v>Austrija</c:v>
                </c:pt>
              </c:strCache>
            </c:strRef>
          </c:tx>
          <c:spPr>
            <a:solidFill>
              <a:schemeClr val="accent2">
                <a:lumMod val="80000"/>
                <a:lumOff val="20000"/>
              </a:schemeClr>
            </a:solidFill>
            <a:ln>
              <a:noFill/>
            </a:ln>
            <a:effectLst/>
          </c:spPr>
          <c:invertIfNegative val="0"/>
          <c:dLbls>
            <c:delete val="1"/>
          </c:dLbls>
          <c:val>
            <c:numRef>
              <c:f>Dinamika_valstu_dalījumā!$K$39:$K$44</c:f>
              <c:numCache>
                <c:formatCode>General</c:formatCode>
                <c:ptCount val="6"/>
                <c:pt idx="0">
                  <c:v>0</c:v>
                </c:pt>
                <c:pt idx="1">
                  <c:v>0</c:v>
                </c:pt>
                <c:pt idx="2">
                  <c:v>0</c:v>
                </c:pt>
                <c:pt idx="3">
                  <c:v>0</c:v>
                </c:pt>
                <c:pt idx="4">
                  <c:v>1</c:v>
                </c:pt>
                <c:pt idx="5">
                  <c:v>2</c:v>
                </c:pt>
              </c:numCache>
            </c:numRef>
          </c:val>
          <c:extLst>
            <c:ext xmlns:c16="http://schemas.microsoft.com/office/drawing/2014/chart" uri="{C3380CC4-5D6E-409C-BE32-E72D297353CC}">
              <c16:uniqueId val="{0000000C-F1D9-4F69-B214-6651E9181721}"/>
            </c:ext>
          </c:extLst>
        </c:ser>
        <c:ser>
          <c:idx val="14"/>
          <c:order val="14"/>
          <c:tx>
            <c:strRef>
              <c:f>Dinamika_valstu_dalījumā!$L$38</c:f>
              <c:strCache>
                <c:ptCount val="1"/>
                <c:pt idx="0">
                  <c:v>Somija</c:v>
                </c:pt>
              </c:strCache>
            </c:strRef>
          </c:tx>
          <c:spPr>
            <a:solidFill>
              <a:schemeClr val="accent3">
                <a:lumMod val="80000"/>
                <a:lumOff val="20000"/>
              </a:schemeClr>
            </a:solidFill>
            <a:ln>
              <a:noFill/>
            </a:ln>
            <a:effectLst/>
          </c:spPr>
          <c:invertIfNegative val="0"/>
          <c:dLbls>
            <c:delete val="1"/>
          </c:dLbls>
          <c:val>
            <c:numRef>
              <c:f>Dinamika_valstu_dalījumā!$L$39:$L$44</c:f>
              <c:numCache>
                <c:formatCode>General</c:formatCode>
                <c:ptCount val="6"/>
                <c:pt idx="0">
                  <c:v>0</c:v>
                </c:pt>
                <c:pt idx="1">
                  <c:v>0</c:v>
                </c:pt>
                <c:pt idx="2">
                  <c:v>0</c:v>
                </c:pt>
                <c:pt idx="3">
                  <c:v>0</c:v>
                </c:pt>
                <c:pt idx="4">
                  <c:v>1</c:v>
                </c:pt>
                <c:pt idx="5">
                  <c:v>0</c:v>
                </c:pt>
              </c:numCache>
            </c:numRef>
          </c:val>
          <c:extLst>
            <c:ext xmlns:c16="http://schemas.microsoft.com/office/drawing/2014/chart" uri="{C3380CC4-5D6E-409C-BE32-E72D297353CC}">
              <c16:uniqueId val="{0000000D-F1D9-4F69-B214-6651E9181721}"/>
            </c:ext>
          </c:extLst>
        </c:ser>
        <c:ser>
          <c:idx val="15"/>
          <c:order val="15"/>
          <c:tx>
            <c:strRef>
              <c:f>Dinamika_valstu_dalījumā!$O$38</c:f>
              <c:strCache>
                <c:ptCount val="1"/>
                <c:pt idx="0">
                  <c:v>Izraēla</c:v>
                </c:pt>
              </c:strCache>
            </c:strRef>
          </c:tx>
          <c:spPr>
            <a:solidFill>
              <a:schemeClr val="accent4">
                <a:lumMod val="80000"/>
                <a:lumOff val="20000"/>
              </a:schemeClr>
            </a:solidFill>
            <a:ln>
              <a:noFill/>
            </a:ln>
            <a:effectLst/>
          </c:spPr>
          <c:invertIfNegative val="0"/>
          <c:dLbls>
            <c:delete val="1"/>
          </c:dLbls>
          <c:val>
            <c:numRef>
              <c:f>Dinamika_valstu_dalījumā!$O$39:$O$44</c:f>
              <c:numCache>
                <c:formatCode>General</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10-F1D9-4F69-B214-6651E9181721}"/>
            </c:ext>
          </c:extLst>
        </c:ser>
        <c:dLbls>
          <c:showLegendKey val="0"/>
          <c:showVal val="1"/>
          <c:showCatName val="0"/>
          <c:showSerName val="0"/>
          <c:showPercent val="0"/>
          <c:showBubbleSize val="0"/>
        </c:dLbls>
        <c:gapWidth val="199"/>
        <c:axId val="484540232"/>
        <c:axId val="484555320"/>
        <c:extLst>
          <c:ext xmlns:c15="http://schemas.microsoft.com/office/drawing/2012/chart" uri="{02D57815-91ED-43cb-92C2-25804820EDAC}">
            <c15:filteredBarSeries>
              <c15:ser>
                <c:idx val="9"/>
                <c:order val="9"/>
                <c:tx>
                  <c:v>Izraēla</c:v>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1"/>
                    <c:pt idx="0">
                      <c:v>1</c:v>
                    </c:pt>
                  </c:numLit>
                </c:val>
                <c:extLst>
                  <c:ext xmlns:c16="http://schemas.microsoft.com/office/drawing/2014/chart" uri="{C3380CC4-5D6E-409C-BE32-E72D297353CC}">
                    <c16:uniqueId val="{00000000-1B20-45DB-BA20-91AF75DED368}"/>
                  </c:ext>
                </c:extLst>
              </c15:ser>
            </c15:filteredBarSeries>
          </c:ext>
        </c:extLst>
      </c:barChart>
      <c:catAx>
        <c:axId val="484540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4555320"/>
        <c:crosses val="autoZero"/>
        <c:auto val="1"/>
        <c:lblAlgn val="ctr"/>
        <c:lblOffset val="100"/>
        <c:noMultiLvlLbl val="0"/>
      </c:catAx>
      <c:valAx>
        <c:axId val="484555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45402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baseline="0"/>
              <a:t>Valstiskās piederības sadalījums (%) pa gadiem </a:t>
            </a:r>
            <a:endParaRPr lang="lv-LV"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621956595810596"/>
          <c:y val="0.14778012981553429"/>
          <c:w val="0.80263972013712781"/>
          <c:h val="0.71381231622293528"/>
        </c:manualLayout>
      </c:layout>
      <c:barChart>
        <c:barDir val="col"/>
        <c:grouping val="stacked"/>
        <c:varyColors val="0"/>
        <c:ser>
          <c:idx val="0"/>
          <c:order val="0"/>
          <c:tx>
            <c:strRef>
              <c:f>Dinamika_valstu_dalījumā!$B$46</c:f>
              <c:strCache>
                <c:ptCount val="1"/>
                <c:pt idx="0">
                  <c:v>Latvija</c:v>
                </c:pt>
              </c:strCache>
            </c:strRef>
          </c:tx>
          <c:spPr>
            <a:solidFill>
              <a:srgbClr val="FFB3B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Dinamika_valstu_dalījumā!$A$47:$A$52</c:f>
              <c:strCache>
                <c:ptCount val="6"/>
                <c:pt idx="0">
                  <c:v>2012.gads</c:v>
                </c:pt>
                <c:pt idx="1">
                  <c:v>2013.gads</c:v>
                </c:pt>
                <c:pt idx="2">
                  <c:v>2014.gads</c:v>
                </c:pt>
                <c:pt idx="3">
                  <c:v>2015.gads</c:v>
                </c:pt>
                <c:pt idx="4">
                  <c:v>2016.gads</c:v>
                </c:pt>
                <c:pt idx="5">
                  <c:v>2017.gads</c:v>
                </c:pt>
              </c:strCache>
            </c:strRef>
          </c:cat>
          <c:val>
            <c:numRef>
              <c:f>Dinamika_valstu_dalījumā!$B$47:$B$52</c:f>
              <c:numCache>
                <c:formatCode>0.0%</c:formatCode>
                <c:ptCount val="6"/>
                <c:pt idx="0">
                  <c:v>0</c:v>
                </c:pt>
                <c:pt idx="1">
                  <c:v>0</c:v>
                </c:pt>
                <c:pt idx="2">
                  <c:v>0</c:v>
                </c:pt>
                <c:pt idx="3">
                  <c:v>0.47058823529411764</c:v>
                </c:pt>
                <c:pt idx="4">
                  <c:v>0.33333333333333331</c:v>
                </c:pt>
                <c:pt idx="5">
                  <c:v>0.31818181818181818</c:v>
                </c:pt>
              </c:numCache>
            </c:numRef>
          </c:val>
          <c:extLst>
            <c:ext xmlns:c16="http://schemas.microsoft.com/office/drawing/2014/chart" uri="{C3380CC4-5D6E-409C-BE32-E72D297353CC}">
              <c16:uniqueId val="{00000000-4F11-4E4A-898E-993602C7C0A9}"/>
            </c:ext>
          </c:extLst>
        </c:ser>
        <c:ser>
          <c:idx val="1"/>
          <c:order val="1"/>
          <c:tx>
            <c:strRef>
              <c:f>Dinamika_valstu_dalījumā!$C$46</c:f>
              <c:strCache>
                <c:ptCount val="1"/>
                <c:pt idx="0">
                  <c:v>ES dalībvalstis</c:v>
                </c:pt>
              </c:strCache>
            </c:strRef>
          </c:tx>
          <c:spPr>
            <a:solidFill>
              <a:srgbClr val="FF818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Dinamika_valstu_dalījumā!$A$47:$A$52</c:f>
              <c:strCache>
                <c:ptCount val="6"/>
                <c:pt idx="0">
                  <c:v>2012.gads</c:v>
                </c:pt>
                <c:pt idx="1">
                  <c:v>2013.gads</c:v>
                </c:pt>
                <c:pt idx="2">
                  <c:v>2014.gads</c:v>
                </c:pt>
                <c:pt idx="3">
                  <c:v>2015.gads</c:v>
                </c:pt>
                <c:pt idx="4">
                  <c:v>2016.gads</c:v>
                </c:pt>
                <c:pt idx="5">
                  <c:v>2017.gads</c:v>
                </c:pt>
              </c:strCache>
            </c:strRef>
          </c:cat>
          <c:val>
            <c:numRef>
              <c:f>Dinamika_valstu_dalījumā!$C$47:$C$52</c:f>
              <c:numCache>
                <c:formatCode>0.0%</c:formatCode>
                <c:ptCount val="6"/>
                <c:pt idx="0">
                  <c:v>1</c:v>
                </c:pt>
                <c:pt idx="1">
                  <c:v>0.5</c:v>
                </c:pt>
                <c:pt idx="2">
                  <c:v>0.8</c:v>
                </c:pt>
                <c:pt idx="3">
                  <c:v>0.29411764705882354</c:v>
                </c:pt>
                <c:pt idx="4">
                  <c:v>0.55555555555555558</c:v>
                </c:pt>
                <c:pt idx="5">
                  <c:v>0.54545454545454541</c:v>
                </c:pt>
              </c:numCache>
            </c:numRef>
          </c:val>
          <c:extLst>
            <c:ext xmlns:c16="http://schemas.microsoft.com/office/drawing/2014/chart" uri="{C3380CC4-5D6E-409C-BE32-E72D297353CC}">
              <c16:uniqueId val="{00000001-4F11-4E4A-898E-993602C7C0A9}"/>
            </c:ext>
          </c:extLst>
        </c:ser>
        <c:ser>
          <c:idx val="2"/>
          <c:order val="2"/>
          <c:tx>
            <c:strRef>
              <c:f>Dinamika_valstu_dalījumā!$D$46</c:f>
              <c:strCache>
                <c:ptCount val="1"/>
                <c:pt idx="0">
                  <c:v>Citas valstis</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Dinamika_valstu_dalījumā!$A$47:$A$52</c:f>
              <c:strCache>
                <c:ptCount val="6"/>
                <c:pt idx="0">
                  <c:v>2012.gads</c:v>
                </c:pt>
                <c:pt idx="1">
                  <c:v>2013.gads</c:v>
                </c:pt>
                <c:pt idx="2">
                  <c:v>2014.gads</c:v>
                </c:pt>
                <c:pt idx="3">
                  <c:v>2015.gads</c:v>
                </c:pt>
                <c:pt idx="4">
                  <c:v>2016.gads</c:v>
                </c:pt>
                <c:pt idx="5">
                  <c:v>2017.gads</c:v>
                </c:pt>
              </c:strCache>
            </c:strRef>
          </c:cat>
          <c:val>
            <c:numRef>
              <c:f>Dinamika_valstu_dalījumā!$D$47:$D$52</c:f>
              <c:numCache>
                <c:formatCode>0.0%</c:formatCode>
                <c:ptCount val="6"/>
                <c:pt idx="0">
                  <c:v>0</c:v>
                </c:pt>
                <c:pt idx="1">
                  <c:v>0.5</c:v>
                </c:pt>
                <c:pt idx="2">
                  <c:v>0.2</c:v>
                </c:pt>
                <c:pt idx="3">
                  <c:v>0.23529411764705882</c:v>
                </c:pt>
                <c:pt idx="4">
                  <c:v>0.1111111111111111</c:v>
                </c:pt>
                <c:pt idx="5">
                  <c:v>0.13636363636363635</c:v>
                </c:pt>
              </c:numCache>
            </c:numRef>
          </c:val>
          <c:extLst>
            <c:ext xmlns:c16="http://schemas.microsoft.com/office/drawing/2014/chart" uri="{C3380CC4-5D6E-409C-BE32-E72D297353CC}">
              <c16:uniqueId val="{00000002-4F11-4E4A-898E-993602C7C0A9}"/>
            </c:ext>
          </c:extLst>
        </c:ser>
        <c:dLbls>
          <c:showLegendKey val="0"/>
          <c:showVal val="0"/>
          <c:showCatName val="0"/>
          <c:showSerName val="0"/>
          <c:showPercent val="0"/>
          <c:showBubbleSize val="0"/>
        </c:dLbls>
        <c:gapWidth val="150"/>
        <c:overlap val="100"/>
        <c:axId val="557875240"/>
        <c:axId val="557872616"/>
      </c:barChart>
      <c:catAx>
        <c:axId val="557875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872616"/>
        <c:crosses val="autoZero"/>
        <c:auto val="1"/>
        <c:lblAlgn val="ctr"/>
        <c:lblOffset val="100"/>
        <c:noMultiLvlLbl val="0"/>
      </c:catAx>
      <c:valAx>
        <c:axId val="5578726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875240"/>
        <c:crosses val="autoZero"/>
        <c:crossBetween val="between"/>
      </c:valAx>
      <c:spPr>
        <a:noFill/>
        <a:ln>
          <a:noFill/>
        </a:ln>
        <a:effectLst/>
      </c:spPr>
    </c:plotArea>
    <c:legend>
      <c:legendPos val="b"/>
      <c:layout>
        <c:manualLayout>
          <c:xMode val="edge"/>
          <c:yMode val="edge"/>
          <c:x val="0.22483853808069246"/>
          <c:y val="0.92366067427272014"/>
          <c:w val="0.55032267767949739"/>
          <c:h val="5.39572257676632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a:t>Iepirkumu skaita </a:t>
            </a:r>
            <a:r>
              <a:rPr lang="lv-LV" sz="1200" b="1" baseline="0"/>
              <a:t>sadalījums pa iepirkuma veidiem pēc valstiskās piederības                               (2017.gads)</a:t>
            </a:r>
            <a:endParaRPr lang="lv-LV"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percentStacked"/>
        <c:varyColors val="0"/>
        <c:ser>
          <c:idx val="0"/>
          <c:order val="0"/>
          <c:tx>
            <c:strRef>
              <c:f>Dinamika_valstu_dalījumā!$A$55</c:f>
              <c:strCache>
                <c:ptCount val="1"/>
                <c:pt idx="0">
                  <c:v>Būvdarbi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Dinamika_valstu_dalījumā!$B$54:$L$54</c:f>
              <c:strCache>
                <c:ptCount val="11"/>
                <c:pt idx="0">
                  <c:v>Latvija</c:v>
                </c:pt>
                <c:pt idx="1">
                  <c:v>Lietuva</c:v>
                </c:pt>
                <c:pt idx="2">
                  <c:v>Zviedrija</c:v>
                </c:pt>
                <c:pt idx="3">
                  <c:v>Beļģija</c:v>
                </c:pt>
                <c:pt idx="4">
                  <c:v>Vācija</c:v>
                </c:pt>
                <c:pt idx="5">
                  <c:v>Dānija</c:v>
                </c:pt>
                <c:pt idx="6">
                  <c:v>Austrija</c:v>
                </c:pt>
                <c:pt idx="7">
                  <c:v>Polija</c:v>
                </c:pt>
                <c:pt idx="8">
                  <c:v>Lielbritānija </c:v>
                </c:pt>
                <c:pt idx="9">
                  <c:v>ASV</c:v>
                </c:pt>
                <c:pt idx="10">
                  <c:v>Izraēla</c:v>
                </c:pt>
              </c:strCache>
            </c:strRef>
          </c:cat>
          <c:val>
            <c:numRef>
              <c:f>Dinamika_valstu_dalījumā!$B$55:$L$55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79F2-4831-9512-6A09465BC0AE}"/>
            </c:ext>
          </c:extLst>
        </c:ser>
        <c:ser>
          <c:idx val="1"/>
          <c:order val="1"/>
          <c:tx>
            <c:strRef>
              <c:f>Dinamika_valstu_dalījumā!$A$56</c:f>
              <c:strCache>
                <c:ptCount val="1"/>
                <c:pt idx="0">
                  <c:v>Piegāde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Dinamika_valstu_dalījumā!$B$54:$L$54</c:f>
              <c:strCache>
                <c:ptCount val="11"/>
                <c:pt idx="0">
                  <c:v>Latvija</c:v>
                </c:pt>
                <c:pt idx="1">
                  <c:v>Lietuva</c:v>
                </c:pt>
                <c:pt idx="2">
                  <c:v>Zviedrija</c:v>
                </c:pt>
                <c:pt idx="3">
                  <c:v>Beļģija</c:v>
                </c:pt>
                <c:pt idx="4">
                  <c:v>Vācija</c:v>
                </c:pt>
                <c:pt idx="5">
                  <c:v>Dānija</c:v>
                </c:pt>
                <c:pt idx="6">
                  <c:v>Austrija</c:v>
                </c:pt>
                <c:pt idx="7">
                  <c:v>Polija</c:v>
                </c:pt>
                <c:pt idx="8">
                  <c:v>Lielbritānija </c:v>
                </c:pt>
                <c:pt idx="9">
                  <c:v>ASV</c:v>
                </c:pt>
                <c:pt idx="10">
                  <c:v>Izraēla</c:v>
                </c:pt>
              </c:strCache>
            </c:strRef>
          </c:cat>
          <c:val>
            <c:numRef>
              <c:f>Dinamika_valstu_dalījumā!$B$56:$L$56</c:f>
              <c:numCache>
                <c:formatCode>General</c:formatCode>
                <c:ptCount val="11"/>
                <c:pt idx="0">
                  <c:v>6</c:v>
                </c:pt>
                <c:pt idx="1">
                  <c:v>0</c:v>
                </c:pt>
                <c:pt idx="2">
                  <c:v>2</c:v>
                </c:pt>
                <c:pt idx="3">
                  <c:v>1</c:v>
                </c:pt>
                <c:pt idx="4">
                  <c:v>3</c:v>
                </c:pt>
                <c:pt idx="5">
                  <c:v>1</c:v>
                </c:pt>
                <c:pt idx="6">
                  <c:v>2</c:v>
                </c:pt>
                <c:pt idx="7">
                  <c:v>1</c:v>
                </c:pt>
                <c:pt idx="8">
                  <c:v>1</c:v>
                </c:pt>
                <c:pt idx="9">
                  <c:v>2</c:v>
                </c:pt>
                <c:pt idx="10">
                  <c:v>1</c:v>
                </c:pt>
              </c:numCache>
            </c:numRef>
          </c:val>
          <c:extLst>
            <c:ext xmlns:c16="http://schemas.microsoft.com/office/drawing/2014/chart" uri="{C3380CC4-5D6E-409C-BE32-E72D297353CC}">
              <c16:uniqueId val="{00000001-79F2-4831-9512-6A09465BC0AE}"/>
            </c:ext>
          </c:extLst>
        </c:ser>
        <c:ser>
          <c:idx val="2"/>
          <c:order val="2"/>
          <c:tx>
            <c:strRef>
              <c:f>Dinamika_valstu_dalījumā!$A$57</c:f>
              <c:strCache>
                <c:ptCount val="1"/>
                <c:pt idx="0">
                  <c:v>Pakalpojumi</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Dinamika_valstu_dalījumā!$B$54:$L$54</c:f>
              <c:strCache>
                <c:ptCount val="11"/>
                <c:pt idx="0">
                  <c:v>Latvija</c:v>
                </c:pt>
                <c:pt idx="1">
                  <c:v>Lietuva</c:v>
                </c:pt>
                <c:pt idx="2">
                  <c:v>Zviedrija</c:v>
                </c:pt>
                <c:pt idx="3">
                  <c:v>Beļģija</c:v>
                </c:pt>
                <c:pt idx="4">
                  <c:v>Vācija</c:v>
                </c:pt>
                <c:pt idx="5">
                  <c:v>Dānija</c:v>
                </c:pt>
                <c:pt idx="6">
                  <c:v>Austrija</c:v>
                </c:pt>
                <c:pt idx="7">
                  <c:v>Polija</c:v>
                </c:pt>
                <c:pt idx="8">
                  <c:v>Lielbritānija </c:v>
                </c:pt>
                <c:pt idx="9">
                  <c:v>ASV</c:v>
                </c:pt>
                <c:pt idx="10">
                  <c:v>Izraēla</c:v>
                </c:pt>
              </c:strCache>
            </c:strRef>
          </c:cat>
          <c:val>
            <c:numRef>
              <c:f>Dinamika_valstu_dalījumā!$B$57:$L$57</c:f>
              <c:numCache>
                <c:formatCode>General</c:formatCode>
                <c:ptCount val="11"/>
                <c:pt idx="0">
                  <c:v>1</c:v>
                </c:pt>
                <c:pt idx="1">
                  <c:v>1</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79F2-4831-9512-6A09465BC0AE}"/>
            </c:ext>
          </c:extLst>
        </c:ser>
        <c:dLbls>
          <c:dLblPos val="ctr"/>
          <c:showLegendKey val="0"/>
          <c:showVal val="1"/>
          <c:showCatName val="0"/>
          <c:showSerName val="0"/>
          <c:showPercent val="0"/>
          <c:showBubbleSize val="0"/>
        </c:dLbls>
        <c:gapWidth val="150"/>
        <c:overlap val="100"/>
        <c:axId val="402442904"/>
        <c:axId val="402452744"/>
      </c:barChart>
      <c:catAx>
        <c:axId val="402442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52744"/>
        <c:crosses val="autoZero"/>
        <c:auto val="1"/>
        <c:lblAlgn val="ctr"/>
        <c:lblOffset val="100"/>
        <c:noMultiLvlLbl val="0"/>
      </c:catAx>
      <c:valAx>
        <c:axId val="402452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42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b="1"/>
              <a:t>Aizsardzības</a:t>
            </a:r>
            <a:r>
              <a:rPr lang="lv-LV" b="1" baseline="0"/>
              <a:t> un drošības jomas virs ES līgumcenu sliekšņa valsts sektora piemēroto sarunu procedūru skaita un līgumcenu sadalījums pa gadiem</a:t>
            </a:r>
            <a:endParaRPr lang="lv-LV"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Procedūru_dinamika!$I$22</c:f>
              <c:strCache>
                <c:ptCount val="1"/>
                <c:pt idx="0">
                  <c:v>2012.gads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Procedūru_dinamika!$J$22:$M$22</c:f>
              <c:numCache>
                <c:formatCode>0.0%</c:formatCode>
                <c:ptCount val="4"/>
                <c:pt idx="0">
                  <c:v>0</c:v>
                </c:pt>
                <c:pt idx="1">
                  <c:v>0</c:v>
                </c:pt>
                <c:pt idx="2">
                  <c:v>1</c:v>
                </c:pt>
                <c:pt idx="3">
                  <c:v>1</c:v>
                </c:pt>
              </c:numCache>
            </c:numRef>
          </c:val>
          <c:extLst>
            <c:ext xmlns:c16="http://schemas.microsoft.com/office/drawing/2014/chart" uri="{C3380CC4-5D6E-409C-BE32-E72D297353CC}">
              <c16:uniqueId val="{00000000-2FB8-4BBB-B4E7-062FA5D31872}"/>
            </c:ext>
          </c:extLst>
        </c:ser>
        <c:ser>
          <c:idx val="1"/>
          <c:order val="1"/>
          <c:tx>
            <c:strRef>
              <c:f>Procedūru_dinamika!$I$23</c:f>
              <c:strCache>
                <c:ptCount val="1"/>
                <c:pt idx="0">
                  <c:v>2013.gads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Procedūru_dinamika!$J$23:$M$23</c:f>
              <c:numCache>
                <c:formatCode>0.0%</c:formatCode>
                <c:ptCount val="4"/>
                <c:pt idx="0">
                  <c:v>1</c:v>
                </c:pt>
                <c:pt idx="1">
                  <c:v>1</c:v>
                </c:pt>
                <c:pt idx="2">
                  <c:v>0</c:v>
                </c:pt>
                <c:pt idx="3">
                  <c:v>0</c:v>
                </c:pt>
              </c:numCache>
            </c:numRef>
          </c:val>
          <c:extLst>
            <c:ext xmlns:c16="http://schemas.microsoft.com/office/drawing/2014/chart" uri="{C3380CC4-5D6E-409C-BE32-E72D297353CC}">
              <c16:uniqueId val="{00000001-2FB8-4BBB-B4E7-062FA5D31872}"/>
            </c:ext>
          </c:extLst>
        </c:ser>
        <c:ser>
          <c:idx val="2"/>
          <c:order val="2"/>
          <c:tx>
            <c:strRef>
              <c:f>Procedūru_dinamika!$I$24</c:f>
              <c:strCache>
                <c:ptCount val="1"/>
                <c:pt idx="0">
                  <c:v>2014.gads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Procedūru_dinamika!$J$24:$M$24</c:f>
              <c:numCache>
                <c:formatCode>0.0%</c:formatCode>
                <c:ptCount val="4"/>
                <c:pt idx="0">
                  <c:v>0.75</c:v>
                </c:pt>
                <c:pt idx="1">
                  <c:v>0.67</c:v>
                </c:pt>
                <c:pt idx="2">
                  <c:v>0.25</c:v>
                </c:pt>
                <c:pt idx="3">
                  <c:v>0.33</c:v>
                </c:pt>
              </c:numCache>
            </c:numRef>
          </c:val>
          <c:extLst>
            <c:ext xmlns:c16="http://schemas.microsoft.com/office/drawing/2014/chart" uri="{C3380CC4-5D6E-409C-BE32-E72D297353CC}">
              <c16:uniqueId val="{00000002-2FB8-4BBB-B4E7-062FA5D31872}"/>
            </c:ext>
          </c:extLst>
        </c:ser>
        <c:ser>
          <c:idx val="3"/>
          <c:order val="3"/>
          <c:tx>
            <c:strRef>
              <c:f>Procedūru_dinamika!$I$25</c:f>
              <c:strCache>
                <c:ptCount val="1"/>
                <c:pt idx="0">
                  <c:v>2015.gads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Procedūru_dinamika!$J$25:$M$25</c:f>
              <c:numCache>
                <c:formatCode>0.0%</c:formatCode>
                <c:ptCount val="4"/>
                <c:pt idx="0">
                  <c:v>0.63600000000000001</c:v>
                </c:pt>
                <c:pt idx="1">
                  <c:v>0.95599999999999996</c:v>
                </c:pt>
                <c:pt idx="2">
                  <c:v>0.36399999999999999</c:v>
                </c:pt>
                <c:pt idx="3">
                  <c:v>4.3999999999999997E-2</c:v>
                </c:pt>
              </c:numCache>
            </c:numRef>
          </c:val>
          <c:extLst>
            <c:ext xmlns:c16="http://schemas.microsoft.com/office/drawing/2014/chart" uri="{C3380CC4-5D6E-409C-BE32-E72D297353CC}">
              <c16:uniqueId val="{00000003-2FB8-4BBB-B4E7-062FA5D31872}"/>
            </c:ext>
          </c:extLst>
        </c:ser>
        <c:ser>
          <c:idx val="4"/>
          <c:order val="4"/>
          <c:tx>
            <c:strRef>
              <c:f>Procedūru_dinamika!$I$26</c:f>
              <c:strCache>
                <c:ptCount val="1"/>
                <c:pt idx="0">
                  <c:v>2016.gads</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Procedūru_dinamika!$J$26:$M$26</c:f>
              <c:numCache>
                <c:formatCode>0.0%</c:formatCode>
                <c:ptCount val="4"/>
                <c:pt idx="0">
                  <c:v>0.75</c:v>
                </c:pt>
                <c:pt idx="1">
                  <c:v>0.85899999999999999</c:v>
                </c:pt>
                <c:pt idx="2">
                  <c:v>0.25</c:v>
                </c:pt>
                <c:pt idx="3">
                  <c:v>0.14099999999999999</c:v>
                </c:pt>
              </c:numCache>
            </c:numRef>
          </c:val>
          <c:extLst>
            <c:ext xmlns:c16="http://schemas.microsoft.com/office/drawing/2014/chart" uri="{C3380CC4-5D6E-409C-BE32-E72D297353CC}">
              <c16:uniqueId val="{00000000-34E2-4328-9270-FDE84E0544CB}"/>
            </c:ext>
          </c:extLst>
        </c:ser>
        <c:ser>
          <c:idx val="5"/>
          <c:order val="5"/>
          <c:tx>
            <c:strRef>
              <c:f>Procedūru_dinamika!$I$27</c:f>
              <c:strCache>
                <c:ptCount val="1"/>
                <c:pt idx="0">
                  <c:v>2017.gads</c:v>
                </c:pt>
              </c:strCache>
            </c:strRef>
          </c:tx>
          <c:spPr>
            <a:solidFill>
              <a:schemeClr val="accent6"/>
            </a:solidFill>
            <a:ln>
              <a:noFill/>
            </a:ln>
            <a:effectLst/>
          </c:spPr>
          <c:invertIfNegative val="0"/>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Procedūru_dinamika!$J$27:$M$27</c:f>
              <c:numCache>
                <c:formatCode>0.0%</c:formatCode>
                <c:ptCount val="4"/>
                <c:pt idx="0">
                  <c:v>0.44400000000000001</c:v>
                </c:pt>
                <c:pt idx="1">
                  <c:v>0.32400000000000001</c:v>
                </c:pt>
                <c:pt idx="2">
                  <c:v>0.55600000000000005</c:v>
                </c:pt>
                <c:pt idx="3">
                  <c:v>0.67600000000000005</c:v>
                </c:pt>
              </c:numCache>
            </c:numRef>
          </c:val>
          <c:extLst>
            <c:ext xmlns:c16="http://schemas.microsoft.com/office/drawing/2014/chart" uri="{C3380CC4-5D6E-409C-BE32-E72D297353CC}">
              <c16:uniqueId val="{00000000-BC21-41E2-AAEF-A1A77CAF2BD8}"/>
            </c:ext>
          </c:extLst>
        </c:ser>
        <c:dLbls>
          <c:showLegendKey val="0"/>
          <c:showVal val="0"/>
          <c:showCatName val="0"/>
          <c:showSerName val="0"/>
          <c:showPercent val="0"/>
          <c:showBubbleSize val="0"/>
        </c:dLbls>
        <c:gapWidth val="219"/>
        <c:axId val="476128296"/>
        <c:axId val="476129280"/>
      </c:barChart>
      <c:catAx>
        <c:axId val="476128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129280"/>
        <c:crosses val="autoZero"/>
        <c:auto val="1"/>
        <c:lblAlgn val="ctr"/>
        <c:lblOffset val="100"/>
        <c:noMultiLvlLbl val="0"/>
      </c:catAx>
      <c:valAx>
        <c:axId val="4761292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128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542925</xdr:colOff>
      <xdr:row>24</xdr:row>
      <xdr:rowOff>66675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152400</xdr:rowOff>
    </xdr:from>
    <xdr:to>
      <xdr:col>11</xdr:col>
      <xdr:colOff>361949</xdr:colOff>
      <xdr:row>32</xdr:row>
      <xdr:rowOff>19050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76199</xdr:colOff>
      <xdr:row>0</xdr:row>
      <xdr:rowOff>57150</xdr:rowOff>
    </xdr:from>
    <xdr:to>
      <xdr:col>25</xdr:col>
      <xdr:colOff>533400</xdr:colOff>
      <xdr:row>15</xdr:row>
      <xdr:rowOff>142875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66675</xdr:colOff>
      <xdr:row>16</xdr:row>
      <xdr:rowOff>76200</xdr:rowOff>
    </xdr:from>
    <xdr:to>
      <xdr:col>25</xdr:col>
      <xdr:colOff>161925</xdr:colOff>
      <xdr:row>32</xdr:row>
      <xdr:rowOff>133350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52387</xdr:colOff>
      <xdr:row>0</xdr:row>
      <xdr:rowOff>161925</xdr:rowOff>
    </xdr:from>
    <xdr:to>
      <xdr:col>9</xdr:col>
      <xdr:colOff>523875</xdr:colOff>
      <xdr:row>20</xdr:row>
      <xdr:rowOff>152400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161925</xdr:rowOff>
    </xdr:from>
    <xdr:to>
      <xdr:col>10</xdr:col>
      <xdr:colOff>600075</xdr:colOff>
      <xdr:row>35</xdr:row>
      <xdr:rowOff>1</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57150</xdr:colOff>
      <xdr:row>0</xdr:row>
      <xdr:rowOff>19051</xdr:rowOff>
    </xdr:from>
    <xdr:to>
      <xdr:col>20</xdr:col>
      <xdr:colOff>257175</xdr:colOff>
      <xdr:row>30</xdr:row>
      <xdr:rowOff>85725</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85724</xdr:rowOff>
    </xdr:from>
    <xdr:to>
      <xdr:col>11</xdr:col>
      <xdr:colOff>476250</xdr:colOff>
      <xdr:row>71</xdr:row>
      <xdr:rowOff>142875</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0</xdr:row>
      <xdr:rowOff>104776</xdr:rowOff>
    </xdr:from>
    <xdr:to>
      <xdr:col>12</xdr:col>
      <xdr:colOff>552450</xdr:colOff>
      <xdr:row>18</xdr:row>
      <xdr:rowOff>0</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28</xdr:row>
      <xdr:rowOff>85724</xdr:rowOff>
    </xdr:from>
    <xdr:to>
      <xdr:col>14</xdr:col>
      <xdr:colOff>533400</xdr:colOff>
      <xdr:row>60</xdr:row>
      <xdr:rowOff>152399</xdr:rowOff>
    </xdr:to>
    <xdr:graphicFrame macro="">
      <xdr:nvGraphicFramePr>
        <xdr:cNvPr id="5" name="Chart 4">
          <a:extLst>
            <a:ext uri="{FF2B5EF4-FFF2-40B4-BE49-F238E27FC236}">
              <a16:creationId xmlns:a16="http://schemas.microsoft.com/office/drawing/2014/main" id="{00000000-0008-0000-0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180975</xdr:rowOff>
    </xdr:from>
    <xdr:to>
      <xdr:col>13</xdr:col>
      <xdr:colOff>523875</xdr:colOff>
      <xdr:row>31</xdr:row>
      <xdr:rowOff>171450</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52</xdr:row>
      <xdr:rowOff>19049</xdr:rowOff>
    </xdr:from>
    <xdr:to>
      <xdr:col>8</xdr:col>
      <xdr:colOff>104775</xdr:colOff>
      <xdr:row>67</xdr:row>
      <xdr:rowOff>85725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workbookViewId="0">
      <selection activeCell="O28" sqref="O28"/>
    </sheetView>
  </sheetViews>
  <sheetFormatPr defaultRowHeight="15" x14ac:dyDescent="0.25"/>
  <cols>
    <col min="2" max="2" width="10.85546875" customWidth="1"/>
    <col min="3" max="3" width="10.28515625" customWidth="1"/>
    <col min="4" max="4" width="7.28515625" customWidth="1"/>
    <col min="5" max="5" width="10.85546875" customWidth="1"/>
    <col min="6" max="6" width="9.85546875" bestFit="1" customWidth="1"/>
    <col min="7" max="7" width="16.42578125" customWidth="1"/>
  </cols>
  <sheetData>
    <row r="1" spans="1:10" x14ac:dyDescent="0.25">
      <c r="A1" s="1" t="s">
        <v>88</v>
      </c>
    </row>
    <row r="2" spans="1:10" x14ac:dyDescent="0.25">
      <c r="A2" s="1"/>
    </row>
    <row r="3" spans="1:10" x14ac:dyDescent="0.25">
      <c r="A3" s="154"/>
      <c r="B3" s="151" t="s">
        <v>0</v>
      </c>
      <c r="C3" s="152"/>
      <c r="D3" s="153"/>
      <c r="E3" s="151" t="s">
        <v>41</v>
      </c>
      <c r="F3" s="152"/>
      <c r="G3" s="153"/>
    </row>
    <row r="4" spans="1:10" ht="45.75" thickBot="1" x14ac:dyDescent="0.3">
      <c r="A4" s="155"/>
      <c r="B4" s="12" t="s">
        <v>1</v>
      </c>
      <c r="C4" s="12" t="s">
        <v>2</v>
      </c>
      <c r="D4" s="13" t="s">
        <v>3</v>
      </c>
      <c r="E4" s="12" t="s">
        <v>1</v>
      </c>
      <c r="F4" s="12" t="s">
        <v>2</v>
      </c>
      <c r="G4" s="13" t="s">
        <v>3</v>
      </c>
    </row>
    <row r="5" spans="1:10" ht="15.75" thickTop="1" x14ac:dyDescent="0.25">
      <c r="A5" s="6" t="s">
        <v>4</v>
      </c>
      <c r="B5" s="7">
        <v>1</v>
      </c>
      <c r="C5" s="7">
        <v>2</v>
      </c>
      <c r="D5" s="8">
        <f>SUM(B5:C5)</f>
        <v>3</v>
      </c>
      <c r="E5" s="9">
        <v>1210000</v>
      </c>
      <c r="F5" s="9">
        <v>312514</v>
      </c>
      <c r="G5" s="10">
        <f t="shared" ref="G5:G10" si="0">E5+F5</f>
        <v>1522514</v>
      </c>
    </row>
    <row r="6" spans="1:10" x14ac:dyDescent="0.25">
      <c r="A6" s="2" t="s">
        <v>6</v>
      </c>
      <c r="B6" s="3">
        <v>2</v>
      </c>
      <c r="C6" s="3">
        <v>18</v>
      </c>
      <c r="D6" s="3">
        <f>B6+C6</f>
        <v>20</v>
      </c>
      <c r="E6" s="4">
        <v>2667933</v>
      </c>
      <c r="F6" s="4">
        <v>2535151</v>
      </c>
      <c r="G6" s="4">
        <f t="shared" si="0"/>
        <v>5203084</v>
      </c>
      <c r="J6" s="14"/>
    </row>
    <row r="7" spans="1:10" x14ac:dyDescent="0.25">
      <c r="A7" s="2" t="s">
        <v>7</v>
      </c>
      <c r="B7" s="3">
        <v>4</v>
      </c>
      <c r="C7" s="3">
        <v>13</v>
      </c>
      <c r="D7" s="3">
        <f>B7+C7</f>
        <v>17</v>
      </c>
      <c r="E7" s="4">
        <v>6305295</v>
      </c>
      <c r="F7" s="4">
        <v>1178053</v>
      </c>
      <c r="G7" s="4">
        <f t="shared" si="0"/>
        <v>7483348</v>
      </c>
    </row>
    <row r="8" spans="1:10" x14ac:dyDescent="0.25">
      <c r="A8" s="2" t="s">
        <v>8</v>
      </c>
      <c r="B8" s="2">
        <v>11</v>
      </c>
      <c r="C8" s="2">
        <v>27</v>
      </c>
      <c r="D8" s="2">
        <f>B8+C8</f>
        <v>38</v>
      </c>
      <c r="E8" s="5">
        <v>90414446</v>
      </c>
      <c r="F8" s="5">
        <v>94497858</v>
      </c>
      <c r="G8" s="5">
        <f t="shared" si="0"/>
        <v>184912304</v>
      </c>
    </row>
    <row r="9" spans="1:10" x14ac:dyDescent="0.25">
      <c r="A9" s="81" t="s">
        <v>99</v>
      </c>
      <c r="B9" s="2">
        <v>8</v>
      </c>
      <c r="C9" s="5">
        <v>19</v>
      </c>
      <c r="D9" s="5">
        <f>SUM(B9:C9)</f>
        <v>27</v>
      </c>
      <c r="E9" s="5">
        <v>10843914</v>
      </c>
      <c r="F9" s="5">
        <v>4462459</v>
      </c>
      <c r="G9" s="5">
        <f t="shared" si="0"/>
        <v>15306373</v>
      </c>
    </row>
    <row r="10" spans="1:10" x14ac:dyDescent="0.25">
      <c r="A10" s="81" t="s">
        <v>113</v>
      </c>
      <c r="B10" s="2">
        <f>15+3</f>
        <v>18</v>
      </c>
      <c r="C10" s="2">
        <f>2+7+2+3+4</f>
        <v>18</v>
      </c>
      <c r="D10" s="2">
        <f>B10+C10</f>
        <v>36</v>
      </c>
      <c r="E10" s="5">
        <f>1133167+21085845+3636914</f>
        <v>25855926</v>
      </c>
      <c r="F10" s="5">
        <f>977476+164474+45836+18076+32780+965622+10350+9810+29500+414583+94974</f>
        <v>2763481</v>
      </c>
      <c r="G10" s="5">
        <f t="shared" si="0"/>
        <v>28619407</v>
      </c>
    </row>
  </sheetData>
  <mergeCells count="3">
    <mergeCell ref="B3:D3"/>
    <mergeCell ref="E3:G3"/>
    <mergeCell ref="A3:A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0:N94"/>
  <sheetViews>
    <sheetView topLeftCell="A75" workbookViewId="0">
      <selection activeCell="S102" sqref="S102"/>
    </sheetView>
  </sheetViews>
  <sheetFormatPr defaultRowHeight="15" x14ac:dyDescent="0.25"/>
  <cols>
    <col min="2" max="2" width="10.5703125" customWidth="1"/>
    <col min="3" max="5" width="10.28515625" bestFit="1" customWidth="1"/>
    <col min="6" max="6" width="10.7109375" customWidth="1"/>
    <col min="7" max="7" width="10.28515625" customWidth="1"/>
    <col min="8" max="8" width="10.42578125" customWidth="1"/>
    <col min="10" max="10" width="10.5703125" customWidth="1"/>
    <col min="11" max="11" width="10" customWidth="1"/>
    <col min="12" max="12" width="10.5703125" customWidth="1"/>
    <col min="13" max="13" width="10.85546875" customWidth="1"/>
  </cols>
  <sheetData>
    <row r="20" spans="1:14" ht="84.75" customHeight="1" x14ac:dyDescent="0.25">
      <c r="A20" s="154"/>
      <c r="B20" s="188" t="s">
        <v>95</v>
      </c>
      <c r="C20" s="188"/>
      <c r="D20" s="159" t="s">
        <v>96</v>
      </c>
      <c r="E20" s="159"/>
      <c r="F20" s="188" t="s">
        <v>97</v>
      </c>
      <c r="G20" s="188"/>
      <c r="I20" s="2"/>
      <c r="J20" s="211" t="s">
        <v>91</v>
      </c>
      <c r="K20" s="212"/>
      <c r="L20" s="211" t="s">
        <v>92</v>
      </c>
      <c r="M20" s="212"/>
    </row>
    <row r="21" spans="1:14" ht="45.75" thickBot="1" x14ac:dyDescent="0.3">
      <c r="A21" s="155"/>
      <c r="B21" s="93" t="s">
        <v>68</v>
      </c>
      <c r="C21" s="108" t="s">
        <v>21</v>
      </c>
      <c r="D21" s="93" t="s">
        <v>68</v>
      </c>
      <c r="E21" s="108" t="s">
        <v>21</v>
      </c>
      <c r="F21" s="94" t="s">
        <v>68</v>
      </c>
      <c r="G21" s="108" t="s">
        <v>21</v>
      </c>
      <c r="I21" s="11"/>
      <c r="J21" s="94" t="s">
        <v>68</v>
      </c>
      <c r="K21" s="108" t="s">
        <v>21</v>
      </c>
      <c r="L21" s="93" t="s">
        <v>68</v>
      </c>
      <c r="M21" s="108" t="s">
        <v>21</v>
      </c>
    </row>
    <row r="22" spans="1:14" ht="15.75" thickTop="1" x14ac:dyDescent="0.25">
      <c r="A22" s="6" t="s">
        <v>4</v>
      </c>
      <c r="B22" s="6">
        <v>1</v>
      </c>
      <c r="C22" s="18">
        <v>1210000</v>
      </c>
      <c r="D22" s="6">
        <v>0</v>
      </c>
      <c r="E22" s="18">
        <v>0</v>
      </c>
      <c r="F22" s="52">
        <f t="shared" ref="F22:G27" si="0">D22/B22</f>
        <v>0</v>
      </c>
      <c r="G22" s="52">
        <f t="shared" si="0"/>
        <v>0</v>
      </c>
      <c r="I22" s="6" t="s">
        <v>4</v>
      </c>
      <c r="J22" s="52">
        <v>0</v>
      </c>
      <c r="K22" s="52">
        <v>0</v>
      </c>
      <c r="L22" s="52">
        <v>1</v>
      </c>
      <c r="M22" s="52">
        <v>1</v>
      </c>
    </row>
    <row r="23" spans="1:14" x14ac:dyDescent="0.25">
      <c r="A23" s="2" t="s">
        <v>6</v>
      </c>
      <c r="B23" s="2">
        <v>2</v>
      </c>
      <c r="C23" s="5">
        <v>2667933</v>
      </c>
      <c r="D23" s="2">
        <v>2</v>
      </c>
      <c r="E23" s="5">
        <v>2667933</v>
      </c>
      <c r="F23" s="51">
        <f t="shared" si="0"/>
        <v>1</v>
      </c>
      <c r="G23" s="51">
        <f t="shared" si="0"/>
        <v>1</v>
      </c>
      <c r="I23" s="2" t="s">
        <v>6</v>
      </c>
      <c r="J23" s="51">
        <v>1</v>
      </c>
      <c r="K23" s="51">
        <v>1</v>
      </c>
      <c r="L23" s="51">
        <v>0</v>
      </c>
      <c r="M23" s="51">
        <v>0</v>
      </c>
    </row>
    <row r="24" spans="1:14" x14ac:dyDescent="0.25">
      <c r="A24" s="2" t="s">
        <v>7</v>
      </c>
      <c r="B24" s="2">
        <v>4</v>
      </c>
      <c r="C24" s="5">
        <v>6305294</v>
      </c>
      <c r="D24" s="2">
        <v>3</v>
      </c>
      <c r="E24" s="5">
        <v>4226490</v>
      </c>
      <c r="F24" s="51">
        <f t="shared" si="0"/>
        <v>0.75</v>
      </c>
      <c r="G24" s="51">
        <f t="shared" si="0"/>
        <v>0.67030815692337264</v>
      </c>
      <c r="I24" s="2" t="s">
        <v>7</v>
      </c>
      <c r="J24" s="51">
        <v>0.75</v>
      </c>
      <c r="K24" s="51">
        <v>0.67</v>
      </c>
      <c r="L24" s="51">
        <v>0.25</v>
      </c>
      <c r="M24" s="51">
        <v>0.33</v>
      </c>
    </row>
    <row r="25" spans="1:14" x14ac:dyDescent="0.25">
      <c r="A25" s="2" t="s">
        <v>8</v>
      </c>
      <c r="B25" s="2">
        <v>11</v>
      </c>
      <c r="C25" s="5">
        <v>90414446</v>
      </c>
      <c r="D25" s="2">
        <v>7</v>
      </c>
      <c r="E25" s="5">
        <v>86407202</v>
      </c>
      <c r="F25" s="51">
        <f t="shared" si="0"/>
        <v>0.63636363636363635</v>
      </c>
      <c r="G25" s="51">
        <f t="shared" si="0"/>
        <v>0.95567916215512727</v>
      </c>
      <c r="I25" s="2" t="s">
        <v>8</v>
      </c>
      <c r="J25" s="51">
        <v>0.63600000000000001</v>
      </c>
      <c r="K25" s="51">
        <v>0.95599999999999996</v>
      </c>
      <c r="L25" s="51">
        <v>0.36399999999999999</v>
      </c>
      <c r="M25" s="51">
        <v>4.3999999999999997E-2</v>
      </c>
      <c r="N25" s="38"/>
    </row>
    <row r="26" spans="1:14" x14ac:dyDescent="0.25">
      <c r="A26" s="81" t="s">
        <v>99</v>
      </c>
      <c r="B26" s="2">
        <v>8</v>
      </c>
      <c r="C26" s="5">
        <v>10843914</v>
      </c>
      <c r="D26" s="2">
        <v>6</v>
      </c>
      <c r="E26" s="5">
        <v>9319249</v>
      </c>
      <c r="F26" s="51">
        <f t="shared" si="0"/>
        <v>0.75</v>
      </c>
      <c r="G26" s="51">
        <f t="shared" si="0"/>
        <v>0.85939901404603536</v>
      </c>
      <c r="I26" s="81" t="s">
        <v>99</v>
      </c>
      <c r="J26" s="51">
        <v>0.75</v>
      </c>
      <c r="K26" s="51">
        <v>0.85899999999999999</v>
      </c>
      <c r="L26" s="51">
        <v>0.25</v>
      </c>
      <c r="M26" s="51">
        <v>0.14099999999999999</v>
      </c>
    </row>
    <row r="27" spans="1:14" x14ac:dyDescent="0.25">
      <c r="A27" s="81" t="s">
        <v>115</v>
      </c>
      <c r="B27" s="2">
        <v>18</v>
      </c>
      <c r="C27" s="5">
        <v>25855926</v>
      </c>
      <c r="D27" s="2">
        <v>8</v>
      </c>
      <c r="E27" s="5">
        <v>8373082</v>
      </c>
      <c r="F27" s="51">
        <f t="shared" si="0"/>
        <v>0.44444444444444442</v>
      </c>
      <c r="G27" s="51">
        <f t="shared" si="0"/>
        <v>0.32383609080564357</v>
      </c>
      <c r="I27" s="81" t="s">
        <v>113</v>
      </c>
      <c r="J27" s="51">
        <v>0.44400000000000001</v>
      </c>
      <c r="K27" s="51">
        <v>0.32400000000000001</v>
      </c>
      <c r="L27" s="51">
        <v>0.55600000000000005</v>
      </c>
      <c r="M27" s="51">
        <v>0.67600000000000005</v>
      </c>
    </row>
    <row r="28" spans="1:14" x14ac:dyDescent="0.25">
      <c r="A28" s="134"/>
      <c r="B28" s="78"/>
      <c r="C28" s="76"/>
      <c r="D28" s="78"/>
      <c r="E28" s="76"/>
      <c r="F28" s="77"/>
      <c r="G28" s="77"/>
      <c r="I28" s="134"/>
      <c r="J28" s="77"/>
      <c r="K28" s="77"/>
      <c r="L28" s="77"/>
      <c r="M28" s="77"/>
    </row>
    <row r="29" spans="1:14" x14ac:dyDescent="0.25">
      <c r="A29" s="78"/>
      <c r="B29" s="78"/>
      <c r="C29" s="78"/>
      <c r="D29" s="78"/>
      <c r="E29" s="78"/>
      <c r="F29" s="78"/>
      <c r="G29" s="78"/>
    </row>
    <row r="63" spans="1:12" x14ac:dyDescent="0.25">
      <c r="A63" s="154"/>
      <c r="B63" s="193" t="s">
        <v>39</v>
      </c>
      <c r="C63" s="160" t="s">
        <v>98</v>
      </c>
      <c r="D63" s="160"/>
      <c r="E63" s="160"/>
      <c r="F63" s="160"/>
      <c r="G63" s="160"/>
      <c r="H63" s="160"/>
      <c r="I63" s="160"/>
      <c r="J63" s="160"/>
      <c r="K63" s="160"/>
      <c r="L63" s="160"/>
    </row>
    <row r="64" spans="1:12" ht="31.5" customHeight="1" x14ac:dyDescent="0.25">
      <c r="A64" s="176"/>
      <c r="B64" s="194"/>
      <c r="C64" s="208" t="s">
        <v>120</v>
      </c>
      <c r="D64" s="208"/>
      <c r="E64" s="208" t="s">
        <v>71</v>
      </c>
      <c r="F64" s="208"/>
      <c r="G64" s="209" t="s">
        <v>72</v>
      </c>
      <c r="H64" s="210"/>
      <c r="I64" s="209" t="s">
        <v>73</v>
      </c>
      <c r="J64" s="213"/>
      <c r="K64" s="163" t="s">
        <v>82</v>
      </c>
      <c r="L64" s="164"/>
    </row>
    <row r="65" spans="1:12" ht="45.75" thickBot="1" x14ac:dyDescent="0.3">
      <c r="A65" s="155"/>
      <c r="B65" s="195"/>
      <c r="C65" s="93" t="s">
        <v>68</v>
      </c>
      <c r="D65" s="141" t="s">
        <v>21</v>
      </c>
      <c r="E65" s="93" t="s">
        <v>68</v>
      </c>
      <c r="F65" s="108" t="s">
        <v>21</v>
      </c>
      <c r="G65" s="93" t="s">
        <v>68</v>
      </c>
      <c r="H65" s="141" t="s">
        <v>21</v>
      </c>
      <c r="I65" s="93" t="s">
        <v>68</v>
      </c>
      <c r="J65" s="141" t="s">
        <v>21</v>
      </c>
      <c r="K65" s="111" t="s">
        <v>68</v>
      </c>
      <c r="L65" s="141" t="s">
        <v>21</v>
      </c>
    </row>
    <row r="66" spans="1:12" ht="15.75" thickTop="1" x14ac:dyDescent="0.25">
      <c r="A66" s="191" t="s">
        <v>4</v>
      </c>
      <c r="B66" s="6" t="s">
        <v>66</v>
      </c>
      <c r="C66" s="6"/>
      <c r="D66" s="6"/>
      <c r="E66" s="18"/>
      <c r="F66" s="18"/>
      <c r="G66" s="18"/>
      <c r="H66" s="18"/>
      <c r="I66" s="18"/>
      <c r="J66" s="19"/>
      <c r="K66" s="105"/>
      <c r="L66" s="95"/>
    </row>
    <row r="67" spans="1:12" x14ac:dyDescent="0.25">
      <c r="A67" s="176"/>
      <c r="B67" s="2" t="s">
        <v>67</v>
      </c>
      <c r="C67" s="2"/>
      <c r="D67" s="2"/>
      <c r="E67" s="5"/>
      <c r="F67" s="5"/>
      <c r="G67" s="5"/>
      <c r="H67" s="5"/>
      <c r="I67" s="5"/>
      <c r="J67" s="30"/>
      <c r="K67" s="106"/>
      <c r="L67" s="101"/>
    </row>
    <row r="68" spans="1:12" x14ac:dyDescent="0.25">
      <c r="A68" s="192"/>
      <c r="B68" s="98" t="s">
        <v>3</v>
      </c>
      <c r="C68" s="145"/>
      <c r="D68" s="145"/>
      <c r="E68" s="99"/>
      <c r="F68" s="99"/>
      <c r="G68" s="99"/>
      <c r="H68" s="99"/>
      <c r="I68" s="99"/>
      <c r="J68" s="103"/>
      <c r="K68" s="106"/>
      <c r="L68" s="101"/>
    </row>
    <row r="69" spans="1:12" x14ac:dyDescent="0.25">
      <c r="A69" s="154" t="s">
        <v>6</v>
      </c>
      <c r="B69" s="2" t="s">
        <v>66</v>
      </c>
      <c r="C69" s="2"/>
      <c r="D69" s="2"/>
      <c r="E69" s="5">
        <v>1</v>
      </c>
      <c r="F69" s="5">
        <v>865374</v>
      </c>
      <c r="G69" s="5"/>
      <c r="H69" s="5"/>
      <c r="I69" s="5"/>
      <c r="J69" s="30"/>
      <c r="K69" s="106"/>
      <c r="L69" s="101"/>
    </row>
    <row r="70" spans="1:12" x14ac:dyDescent="0.25">
      <c r="A70" s="176"/>
      <c r="B70" s="2" t="s">
        <v>67</v>
      </c>
      <c r="C70" s="2"/>
      <c r="D70" s="2"/>
      <c r="E70" s="5">
        <v>1</v>
      </c>
      <c r="F70" s="5">
        <v>1802559</v>
      </c>
      <c r="G70" s="5"/>
      <c r="H70" s="5"/>
      <c r="I70" s="5"/>
      <c r="J70" s="30"/>
      <c r="K70" s="106"/>
      <c r="L70" s="101"/>
    </row>
    <row r="71" spans="1:12" x14ac:dyDescent="0.25">
      <c r="A71" s="192"/>
      <c r="B71" s="98" t="s">
        <v>3</v>
      </c>
      <c r="C71" s="145"/>
      <c r="D71" s="145"/>
      <c r="E71" s="79">
        <f>SUM(E69:E70)</f>
        <v>2</v>
      </c>
      <c r="F71" s="79">
        <f>SUM(F69:F70)</f>
        <v>2667933</v>
      </c>
      <c r="G71" s="99"/>
      <c r="H71" s="99"/>
      <c r="I71" s="99"/>
      <c r="J71" s="103"/>
      <c r="K71" s="107">
        <f>E71</f>
        <v>2</v>
      </c>
      <c r="L71" s="102">
        <f>F71</f>
        <v>2667933</v>
      </c>
    </row>
    <row r="72" spans="1:12" x14ac:dyDescent="0.25">
      <c r="A72" s="154" t="s">
        <v>7</v>
      </c>
      <c r="B72" s="2" t="s">
        <v>66</v>
      </c>
      <c r="C72" s="2"/>
      <c r="D72" s="2"/>
      <c r="E72" s="5">
        <v>2</v>
      </c>
      <c r="F72" s="5">
        <v>2916217</v>
      </c>
      <c r="G72" s="5"/>
      <c r="H72" s="5"/>
      <c r="I72" s="5"/>
      <c r="J72" s="30"/>
      <c r="K72" s="106"/>
      <c r="L72" s="101"/>
    </row>
    <row r="73" spans="1:12" x14ac:dyDescent="0.25">
      <c r="A73" s="176"/>
      <c r="B73" s="2" t="s">
        <v>67</v>
      </c>
      <c r="C73" s="2"/>
      <c r="D73" s="2"/>
      <c r="E73" s="5">
        <v>1</v>
      </c>
      <c r="F73" s="5">
        <v>1310273</v>
      </c>
      <c r="G73" s="5"/>
      <c r="H73" s="5"/>
      <c r="I73" s="5"/>
      <c r="J73" s="30"/>
      <c r="K73" s="106"/>
      <c r="L73" s="101"/>
    </row>
    <row r="74" spans="1:12" x14ac:dyDescent="0.25">
      <c r="A74" s="192"/>
      <c r="B74" s="98" t="s">
        <v>3</v>
      </c>
      <c r="C74" s="145"/>
      <c r="D74" s="145"/>
      <c r="E74" s="79">
        <f>SUM(E72:E73)</f>
        <v>3</v>
      </c>
      <c r="F74" s="79">
        <f>SUM(F72:F73)</f>
        <v>4226490</v>
      </c>
      <c r="G74" s="99"/>
      <c r="H74" s="99"/>
      <c r="I74" s="99"/>
      <c r="J74" s="103"/>
      <c r="K74" s="107">
        <f>E74</f>
        <v>3</v>
      </c>
      <c r="L74" s="102">
        <f>F74</f>
        <v>4226490</v>
      </c>
    </row>
    <row r="75" spans="1:12" x14ac:dyDescent="0.25">
      <c r="A75" s="160" t="s">
        <v>8</v>
      </c>
      <c r="B75" s="2" t="s">
        <v>66</v>
      </c>
      <c r="C75" s="2"/>
      <c r="D75" s="2"/>
      <c r="E75" s="5">
        <v>4</v>
      </c>
      <c r="F75" s="5">
        <v>75709647</v>
      </c>
      <c r="G75" s="5">
        <v>1</v>
      </c>
      <c r="H75" s="5">
        <v>3181818</v>
      </c>
      <c r="I75" s="5"/>
      <c r="J75" s="30"/>
      <c r="K75" s="106"/>
      <c r="L75" s="101"/>
    </row>
    <row r="76" spans="1:12" x14ac:dyDescent="0.25">
      <c r="A76" s="160"/>
      <c r="B76" s="2" t="s">
        <v>67</v>
      </c>
      <c r="C76" s="2"/>
      <c r="D76" s="2"/>
      <c r="E76" s="5">
        <v>1</v>
      </c>
      <c r="F76" s="5">
        <v>684000</v>
      </c>
      <c r="G76" s="5"/>
      <c r="H76" s="5"/>
      <c r="I76" s="5">
        <v>1</v>
      </c>
      <c r="J76" s="30">
        <v>6831737</v>
      </c>
      <c r="K76" s="106"/>
      <c r="L76" s="101"/>
    </row>
    <row r="77" spans="1:12" x14ac:dyDescent="0.25">
      <c r="A77" s="160"/>
      <c r="B77" s="100" t="s">
        <v>3</v>
      </c>
      <c r="C77" s="145"/>
      <c r="D77" s="145"/>
      <c r="E77" s="79">
        <f>SUM(E75:E76)</f>
        <v>5</v>
      </c>
      <c r="F77" s="79">
        <f>SUM(F75:F76)</f>
        <v>76393647</v>
      </c>
      <c r="G77" s="79">
        <f>SUM(G75:G76)</f>
        <v>1</v>
      </c>
      <c r="H77" s="79">
        <f>SUM(H75:H76)</f>
        <v>3181818</v>
      </c>
      <c r="I77" s="79">
        <f>SUM(I76)</f>
        <v>1</v>
      </c>
      <c r="J77" s="104">
        <f>SUM(J76)</f>
        <v>6831737</v>
      </c>
      <c r="K77" s="107">
        <f>E77+G77+I77</f>
        <v>7</v>
      </c>
      <c r="L77" s="102">
        <f>F77+H77+J77</f>
        <v>86407202</v>
      </c>
    </row>
    <row r="78" spans="1:12" x14ac:dyDescent="0.25">
      <c r="A78" s="160" t="s">
        <v>99</v>
      </c>
      <c r="B78" s="2" t="s">
        <v>66</v>
      </c>
      <c r="C78" s="2"/>
      <c r="D78" s="2"/>
      <c r="E78" s="5">
        <v>2</v>
      </c>
      <c r="F78" s="5">
        <v>6077860</v>
      </c>
      <c r="G78" s="5">
        <v>2</v>
      </c>
      <c r="H78" s="5">
        <v>1377249</v>
      </c>
      <c r="I78" s="5"/>
      <c r="J78" s="30"/>
      <c r="K78" s="106"/>
      <c r="L78" s="101"/>
    </row>
    <row r="79" spans="1:12" x14ac:dyDescent="0.25">
      <c r="A79" s="160"/>
      <c r="B79" s="2" t="s">
        <v>67</v>
      </c>
      <c r="C79" s="2"/>
      <c r="D79" s="2"/>
      <c r="E79" s="5">
        <v>1</v>
      </c>
      <c r="F79" s="5">
        <v>583141</v>
      </c>
      <c r="G79" s="5"/>
      <c r="H79" s="5"/>
      <c r="I79" s="5">
        <v>1</v>
      </c>
      <c r="J79" s="30">
        <v>280999</v>
      </c>
      <c r="K79" s="106"/>
      <c r="L79" s="101"/>
    </row>
    <row r="80" spans="1:12" x14ac:dyDescent="0.25">
      <c r="A80" s="160"/>
      <c r="B80" s="100" t="s">
        <v>3</v>
      </c>
      <c r="C80" s="145"/>
      <c r="D80" s="145"/>
      <c r="E80" s="79">
        <f>E78+E79</f>
        <v>3</v>
      </c>
      <c r="F80" s="79">
        <f>F79+F78</f>
        <v>6661001</v>
      </c>
      <c r="G80" s="79">
        <f>G78</f>
        <v>2</v>
      </c>
      <c r="H80" s="79">
        <f>H78</f>
        <v>1377249</v>
      </c>
      <c r="I80" s="79">
        <f>I79</f>
        <v>1</v>
      </c>
      <c r="J80" s="104">
        <f>J79</f>
        <v>280999</v>
      </c>
      <c r="K80" s="107">
        <f>E80+G80+I80</f>
        <v>6</v>
      </c>
      <c r="L80" s="102">
        <f>F80+H80+J80</f>
        <v>8319249</v>
      </c>
    </row>
    <row r="81" spans="1:12" x14ac:dyDescent="0.25">
      <c r="A81" s="160" t="s">
        <v>113</v>
      </c>
      <c r="B81" s="2" t="s">
        <v>66</v>
      </c>
      <c r="C81" s="2">
        <v>1</v>
      </c>
      <c r="D81" s="5">
        <v>159983</v>
      </c>
      <c r="E81" s="5">
        <v>3</v>
      </c>
      <c r="F81" s="5">
        <v>1344283</v>
      </c>
      <c r="G81" s="5">
        <v>4</v>
      </c>
      <c r="H81" s="5">
        <v>6868816</v>
      </c>
      <c r="I81" s="5"/>
      <c r="J81" s="30"/>
      <c r="K81" s="106"/>
      <c r="L81" s="101"/>
    </row>
    <row r="82" spans="1:12" x14ac:dyDescent="0.25">
      <c r="A82" s="160"/>
      <c r="B82" s="2" t="s">
        <v>67</v>
      </c>
      <c r="C82" s="2"/>
      <c r="D82" s="2"/>
      <c r="E82" s="5"/>
      <c r="F82" s="5"/>
      <c r="G82" s="5"/>
      <c r="H82" s="5"/>
      <c r="I82" s="5"/>
      <c r="J82" s="30"/>
      <c r="K82" s="106"/>
      <c r="L82" s="101"/>
    </row>
    <row r="83" spans="1:12" x14ac:dyDescent="0.25">
      <c r="A83" s="160"/>
      <c r="B83" s="100" t="s">
        <v>3</v>
      </c>
      <c r="C83" s="146">
        <f>C81</f>
        <v>1</v>
      </c>
      <c r="D83" s="147">
        <f>D81</f>
        <v>159983</v>
      </c>
      <c r="E83" s="79">
        <f>E81+E82</f>
        <v>3</v>
      </c>
      <c r="F83" s="79">
        <f>F82+F81</f>
        <v>1344283</v>
      </c>
      <c r="G83" s="79">
        <f>G81</f>
        <v>4</v>
      </c>
      <c r="H83" s="79">
        <f>H81</f>
        <v>6868816</v>
      </c>
      <c r="I83" s="79"/>
      <c r="J83" s="104"/>
      <c r="K83" s="107">
        <f>C83+E83+G83</f>
        <v>8</v>
      </c>
      <c r="L83" s="102">
        <f>D83+F83+H83</f>
        <v>8373082</v>
      </c>
    </row>
    <row r="85" spans="1:12" ht="28.5" customHeight="1" x14ac:dyDescent="0.25">
      <c r="A85" s="206" t="s">
        <v>93</v>
      </c>
      <c r="B85" s="207"/>
      <c r="C85" s="207"/>
      <c r="D85" s="207"/>
      <c r="E85" s="207"/>
      <c r="F85" s="207"/>
      <c r="G85" s="207"/>
      <c r="H85" s="207"/>
      <c r="I85" s="207"/>
    </row>
    <row r="86" spans="1:12" x14ac:dyDescent="0.25">
      <c r="A86" s="154"/>
      <c r="B86" s="196" t="s">
        <v>124</v>
      </c>
      <c r="C86" s="196"/>
      <c r="D86" s="196" t="s">
        <v>83</v>
      </c>
      <c r="E86" s="196"/>
      <c r="F86" s="181" t="s">
        <v>79</v>
      </c>
      <c r="G86" s="182"/>
      <c r="H86" s="181" t="s">
        <v>84</v>
      </c>
      <c r="I86" s="182"/>
    </row>
    <row r="87" spans="1:12" ht="45.75" thickBot="1" x14ac:dyDescent="0.3">
      <c r="A87" s="155"/>
      <c r="B87" s="93" t="s">
        <v>70</v>
      </c>
      <c r="C87" s="141" t="s">
        <v>21</v>
      </c>
      <c r="D87" s="93" t="s">
        <v>70</v>
      </c>
      <c r="E87" s="108" t="s">
        <v>21</v>
      </c>
      <c r="F87" s="93" t="s">
        <v>68</v>
      </c>
      <c r="G87" s="141" t="s">
        <v>21</v>
      </c>
      <c r="H87" s="93" t="s">
        <v>68</v>
      </c>
      <c r="I87" s="141" t="s">
        <v>21</v>
      </c>
    </row>
    <row r="88" spans="1:12" ht="15.75" thickTop="1" x14ac:dyDescent="0.25">
      <c r="A88" s="6" t="s">
        <v>4</v>
      </c>
      <c r="B88" s="52">
        <v>0</v>
      </c>
      <c r="C88" s="53">
        <v>0</v>
      </c>
      <c r="D88" s="52">
        <v>0</v>
      </c>
      <c r="E88" s="53">
        <v>0</v>
      </c>
      <c r="F88" s="52">
        <v>0</v>
      </c>
      <c r="G88" s="53">
        <v>0</v>
      </c>
      <c r="H88" s="52">
        <v>0</v>
      </c>
      <c r="I88" s="53">
        <v>0</v>
      </c>
    </row>
    <row r="89" spans="1:12" x14ac:dyDescent="0.25">
      <c r="A89" s="2" t="s">
        <v>6</v>
      </c>
      <c r="B89" s="51">
        <v>0</v>
      </c>
      <c r="C89" s="54">
        <v>0</v>
      </c>
      <c r="D89" s="51">
        <f>E71/K71</f>
        <v>1</v>
      </c>
      <c r="E89" s="54">
        <f>F71/L71</f>
        <v>1</v>
      </c>
      <c r="F89" s="51">
        <v>0</v>
      </c>
      <c r="G89" s="54">
        <v>0</v>
      </c>
      <c r="H89" s="51">
        <v>0</v>
      </c>
      <c r="I89" s="54">
        <v>0</v>
      </c>
    </row>
    <row r="90" spans="1:12" x14ac:dyDescent="0.25">
      <c r="A90" s="2" t="s">
        <v>7</v>
      </c>
      <c r="B90" s="51">
        <v>0</v>
      </c>
      <c r="C90" s="54">
        <v>0</v>
      </c>
      <c r="D90" s="51">
        <f>E74/K74</f>
        <v>1</v>
      </c>
      <c r="E90" s="54">
        <f>F74/L74</f>
        <v>1</v>
      </c>
      <c r="F90" s="51">
        <v>0</v>
      </c>
      <c r="G90" s="54">
        <v>0</v>
      </c>
      <c r="H90" s="51">
        <v>0</v>
      </c>
      <c r="I90" s="54">
        <v>0</v>
      </c>
    </row>
    <row r="91" spans="1:12" x14ac:dyDescent="0.25">
      <c r="A91" s="2" t="s">
        <v>8</v>
      </c>
      <c r="B91" s="51">
        <v>0</v>
      </c>
      <c r="C91" s="54">
        <v>0</v>
      </c>
      <c r="D91" s="51">
        <f>E77/K77</f>
        <v>0.7142857142857143</v>
      </c>
      <c r="E91" s="54">
        <f>F77/L77</f>
        <v>0.88411203269838545</v>
      </c>
      <c r="F91" s="51">
        <f>G77/K77</f>
        <v>0.14285714285714285</v>
      </c>
      <c r="G91" s="54">
        <f>H77/L77</f>
        <v>3.6823527742513872E-2</v>
      </c>
      <c r="H91" s="51">
        <f>I77/K77</f>
        <v>0.14285714285714285</v>
      </c>
      <c r="I91" s="54">
        <f>J77/L77</f>
        <v>7.9064439559100641E-2</v>
      </c>
    </row>
    <row r="92" spans="1:12" x14ac:dyDescent="0.25">
      <c r="A92" s="81" t="s">
        <v>99</v>
      </c>
      <c r="B92" s="51">
        <v>0</v>
      </c>
      <c r="C92" s="54">
        <v>0</v>
      </c>
      <c r="D92" s="51">
        <f>E80/K80</f>
        <v>0.5</v>
      </c>
      <c r="E92" s="54">
        <f>F80/L80</f>
        <v>0.80067335404914552</v>
      </c>
      <c r="F92" s="51">
        <f>G80/K80</f>
        <v>0.33333333333333331</v>
      </c>
      <c r="G92" s="54">
        <f>H80/L80</f>
        <v>0.16554967882317262</v>
      </c>
      <c r="H92" s="51">
        <f>I80/K80</f>
        <v>0.16666666666666666</v>
      </c>
      <c r="I92" s="54">
        <f>J80/L80</f>
        <v>3.3776967127681835E-2</v>
      </c>
    </row>
    <row r="93" spans="1:12" x14ac:dyDescent="0.25">
      <c r="A93" s="81" t="s">
        <v>113</v>
      </c>
      <c r="B93" s="51">
        <f>C83/K83</f>
        <v>0.125</v>
      </c>
      <c r="C93" s="54">
        <f>D83/L83</f>
        <v>1.9106823508954051E-2</v>
      </c>
      <c r="D93" s="51">
        <f>E83/K83</f>
        <v>0.375</v>
      </c>
      <c r="E93" s="54">
        <f>F83/L83</f>
        <v>0.16054817091245493</v>
      </c>
      <c r="F93" s="51">
        <f>G83/K83</f>
        <v>0.5</v>
      </c>
      <c r="G93" s="54">
        <f>H83/L83</f>
        <v>0.82034500557859102</v>
      </c>
      <c r="H93" s="51">
        <v>0</v>
      </c>
      <c r="I93" s="54">
        <v>0</v>
      </c>
    </row>
    <row r="94" spans="1:12" x14ac:dyDescent="0.25">
      <c r="A94" s="134"/>
    </row>
  </sheetData>
  <mergeCells count="26">
    <mergeCell ref="A86:A87"/>
    <mergeCell ref="J20:K20"/>
    <mergeCell ref="D86:E86"/>
    <mergeCell ref="A69:A71"/>
    <mergeCell ref="A72:A74"/>
    <mergeCell ref="A75:A77"/>
    <mergeCell ref="A66:A68"/>
    <mergeCell ref="A20:A21"/>
    <mergeCell ref="B20:C20"/>
    <mergeCell ref="A81:A83"/>
    <mergeCell ref="A85:I85"/>
    <mergeCell ref="B86:C86"/>
    <mergeCell ref="H86:I86"/>
    <mergeCell ref="A78:A80"/>
    <mergeCell ref="D20:E20"/>
    <mergeCell ref="F20:G20"/>
    <mergeCell ref="A63:A65"/>
    <mergeCell ref="B63:B65"/>
    <mergeCell ref="E64:F64"/>
    <mergeCell ref="G64:H64"/>
    <mergeCell ref="C63:L63"/>
    <mergeCell ref="C64:D64"/>
    <mergeCell ref="K64:L64"/>
    <mergeCell ref="L20:M20"/>
    <mergeCell ref="F86:G86"/>
    <mergeCell ref="I64:J64"/>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4"/>
  <sheetViews>
    <sheetView workbookViewId="0">
      <selection activeCell="T23" sqref="T23"/>
    </sheetView>
  </sheetViews>
  <sheetFormatPr defaultRowHeight="15" x14ac:dyDescent="0.25"/>
  <cols>
    <col min="1" max="1" width="14.7109375" customWidth="1"/>
    <col min="2" max="2" width="10.7109375" bestFit="1" customWidth="1"/>
    <col min="3" max="3" width="4.7109375" customWidth="1"/>
    <col min="4" max="4" width="10.7109375" customWidth="1"/>
    <col min="5" max="5" width="5.85546875" customWidth="1"/>
    <col min="6" max="6" width="10" customWidth="1"/>
    <col min="7" max="7" width="5.85546875" customWidth="1"/>
    <col min="8" max="8" width="10.7109375" customWidth="1"/>
    <col min="9" max="9" width="5.85546875" customWidth="1"/>
    <col min="10" max="10" width="10.7109375" customWidth="1"/>
    <col min="11" max="11" width="6.140625" customWidth="1"/>
    <col min="12" max="12" width="11.28515625" customWidth="1"/>
    <col min="13" max="13" width="6" customWidth="1"/>
    <col min="14" max="14" width="11.28515625" customWidth="1"/>
  </cols>
  <sheetData>
    <row r="1" spans="1:14" ht="15.75" x14ac:dyDescent="0.25">
      <c r="A1" s="80" t="s">
        <v>94</v>
      </c>
    </row>
    <row r="3" spans="1:14" x14ac:dyDescent="0.25">
      <c r="A3" s="214" t="s">
        <v>20</v>
      </c>
      <c r="B3" s="215"/>
      <c r="C3" s="214" t="s">
        <v>113</v>
      </c>
      <c r="D3" s="215"/>
      <c r="E3" s="160" t="s">
        <v>99</v>
      </c>
      <c r="F3" s="160"/>
      <c r="G3" s="151" t="s">
        <v>8</v>
      </c>
      <c r="H3" s="153"/>
      <c r="I3" s="151" t="s">
        <v>7</v>
      </c>
      <c r="J3" s="152"/>
      <c r="K3" s="151" t="s">
        <v>6</v>
      </c>
      <c r="L3" s="152"/>
      <c r="M3" s="160" t="s">
        <v>4</v>
      </c>
      <c r="N3" s="160"/>
    </row>
    <row r="4" spans="1:14" ht="82.5" x14ac:dyDescent="0.25">
      <c r="A4" s="216"/>
      <c r="B4" s="217"/>
      <c r="C4" s="67" t="s">
        <v>0</v>
      </c>
      <c r="D4" s="132" t="s">
        <v>21</v>
      </c>
      <c r="E4" s="67" t="s">
        <v>0</v>
      </c>
      <c r="F4" s="112" t="s">
        <v>21</v>
      </c>
      <c r="G4" s="67" t="s">
        <v>0</v>
      </c>
      <c r="H4" s="68" t="s">
        <v>21</v>
      </c>
      <c r="I4" s="67" t="s">
        <v>0</v>
      </c>
      <c r="J4" s="68" t="s">
        <v>21</v>
      </c>
      <c r="K4" s="67" t="s">
        <v>0</v>
      </c>
      <c r="L4" s="68" t="s">
        <v>21</v>
      </c>
      <c r="M4" s="67" t="s">
        <v>0</v>
      </c>
      <c r="N4" s="68" t="s">
        <v>21</v>
      </c>
    </row>
    <row r="5" spans="1:14" x14ac:dyDescent="0.25">
      <c r="A5" s="2" t="s">
        <v>27</v>
      </c>
      <c r="B5" s="69" t="s">
        <v>14</v>
      </c>
      <c r="C5" s="138">
        <v>1</v>
      </c>
      <c r="D5" s="148">
        <v>1199184</v>
      </c>
      <c r="E5" s="2"/>
      <c r="F5" s="5"/>
      <c r="G5" s="5">
        <v>1</v>
      </c>
      <c r="H5" s="5">
        <v>618300</v>
      </c>
      <c r="I5" s="5"/>
      <c r="J5" s="5"/>
      <c r="K5" s="5"/>
      <c r="L5" s="5"/>
      <c r="M5" s="5"/>
      <c r="N5" s="5"/>
    </row>
    <row r="6" spans="1:14" x14ac:dyDescent="0.25">
      <c r="A6" s="221" t="s">
        <v>26</v>
      </c>
      <c r="B6" s="69" t="s">
        <v>9</v>
      </c>
      <c r="C6" s="138">
        <v>1</v>
      </c>
      <c r="D6" s="148">
        <v>896283</v>
      </c>
      <c r="E6" s="2"/>
      <c r="F6" s="5"/>
      <c r="G6" s="5">
        <v>1</v>
      </c>
      <c r="H6" s="5">
        <v>67367397</v>
      </c>
      <c r="I6" s="5"/>
      <c r="J6" s="5"/>
      <c r="K6" s="5"/>
      <c r="L6" s="5"/>
      <c r="M6" s="5"/>
      <c r="N6" s="5"/>
    </row>
    <row r="7" spans="1:14" x14ac:dyDescent="0.25">
      <c r="A7" s="221"/>
      <c r="B7" s="69" t="s">
        <v>108</v>
      </c>
      <c r="C7" s="138"/>
      <c r="D7" s="148"/>
      <c r="E7" s="2">
        <v>1</v>
      </c>
      <c r="F7" s="5">
        <v>895481</v>
      </c>
      <c r="G7" s="5"/>
      <c r="H7" s="5"/>
      <c r="I7" s="5"/>
      <c r="J7" s="5"/>
      <c r="K7" s="5"/>
      <c r="L7" s="5"/>
      <c r="M7" s="5"/>
      <c r="N7" s="5"/>
    </row>
    <row r="8" spans="1:14" x14ac:dyDescent="0.25">
      <c r="A8" s="221" t="s">
        <v>128</v>
      </c>
      <c r="B8" s="69" t="s">
        <v>130</v>
      </c>
      <c r="C8" s="138">
        <v>1</v>
      </c>
      <c r="D8" s="148">
        <v>491000</v>
      </c>
      <c r="E8" s="2"/>
      <c r="F8" s="5"/>
      <c r="G8" s="5"/>
      <c r="H8" s="5"/>
      <c r="I8" s="5"/>
      <c r="J8" s="5"/>
      <c r="K8" s="5"/>
      <c r="L8" s="5"/>
      <c r="M8" s="5"/>
      <c r="N8" s="5"/>
    </row>
    <row r="9" spans="1:14" x14ac:dyDescent="0.25">
      <c r="A9" s="221"/>
      <c r="B9" s="69" t="s">
        <v>127</v>
      </c>
      <c r="C9" s="138">
        <v>1</v>
      </c>
      <c r="D9" s="148">
        <v>440000</v>
      </c>
      <c r="E9" s="2"/>
      <c r="F9" s="5"/>
      <c r="G9" s="5"/>
      <c r="H9" s="5"/>
      <c r="I9" s="5"/>
      <c r="J9" s="5"/>
      <c r="K9" s="5"/>
      <c r="L9" s="5"/>
      <c r="M9" s="5"/>
      <c r="N9" s="5"/>
    </row>
    <row r="10" spans="1:14" x14ac:dyDescent="0.25">
      <c r="A10" s="223" t="s">
        <v>25</v>
      </c>
      <c r="B10" s="69" t="s">
        <v>131</v>
      </c>
      <c r="C10" s="138">
        <v>1</v>
      </c>
      <c r="D10" s="148">
        <v>5525888</v>
      </c>
      <c r="E10" s="2"/>
      <c r="F10" s="5"/>
      <c r="G10" s="5"/>
      <c r="H10" s="5"/>
      <c r="I10" s="5"/>
      <c r="J10" s="5"/>
      <c r="K10" s="5"/>
      <c r="L10" s="5"/>
      <c r="M10" s="5"/>
      <c r="N10" s="5"/>
    </row>
    <row r="11" spans="1:14" x14ac:dyDescent="0.25">
      <c r="A11" s="223"/>
      <c r="B11" s="69" t="s">
        <v>110</v>
      </c>
      <c r="C11" s="138"/>
      <c r="D11" s="148"/>
      <c r="E11" s="2">
        <v>1</v>
      </c>
      <c r="F11" s="5">
        <v>4884970</v>
      </c>
      <c r="G11" s="5"/>
      <c r="H11" s="5"/>
      <c r="I11" s="5"/>
      <c r="J11" s="5"/>
      <c r="K11" s="5"/>
      <c r="L11" s="5"/>
      <c r="M11" s="5"/>
      <c r="N11" s="5"/>
    </row>
    <row r="12" spans="1:14" x14ac:dyDescent="0.25">
      <c r="A12" s="223"/>
      <c r="B12" s="69" t="s">
        <v>135</v>
      </c>
      <c r="C12" s="138">
        <f>1+1</f>
        <v>2</v>
      </c>
      <c r="D12" s="148">
        <f>418000+1305982</f>
        <v>1723982</v>
      </c>
      <c r="E12" s="2"/>
      <c r="F12" s="5"/>
      <c r="G12" s="5"/>
      <c r="H12" s="5"/>
      <c r="I12" s="5"/>
      <c r="J12" s="5"/>
      <c r="K12" s="2"/>
      <c r="L12" s="2"/>
      <c r="M12" s="5"/>
      <c r="N12" s="5"/>
    </row>
    <row r="13" spans="1:14" x14ac:dyDescent="0.25">
      <c r="A13" s="223"/>
      <c r="B13" s="69" t="s">
        <v>63</v>
      </c>
      <c r="C13" s="138">
        <v>1</v>
      </c>
      <c r="D13" s="148">
        <v>885950</v>
      </c>
      <c r="E13" s="2"/>
      <c r="F13" s="5"/>
      <c r="G13" s="5"/>
      <c r="H13" s="5"/>
      <c r="I13" s="5">
        <v>1</v>
      </c>
      <c r="J13" s="5">
        <v>1808322</v>
      </c>
      <c r="K13" s="2"/>
      <c r="L13" s="2"/>
      <c r="M13" s="5"/>
      <c r="N13" s="5"/>
    </row>
    <row r="14" spans="1:14" x14ac:dyDescent="0.25">
      <c r="A14" s="223"/>
      <c r="B14" s="69" t="s">
        <v>133</v>
      </c>
      <c r="C14" s="138">
        <v>1</v>
      </c>
      <c r="D14" s="148">
        <v>1236436</v>
      </c>
      <c r="E14" s="2"/>
      <c r="F14" s="5"/>
      <c r="G14" s="5"/>
      <c r="H14" s="5"/>
      <c r="I14" s="5"/>
      <c r="J14" s="5"/>
      <c r="K14" s="2"/>
      <c r="L14" s="2"/>
      <c r="M14" s="5"/>
      <c r="N14" s="5"/>
    </row>
    <row r="15" spans="1:14" x14ac:dyDescent="0.25">
      <c r="A15" s="223"/>
      <c r="B15" s="69" t="s">
        <v>129</v>
      </c>
      <c r="C15" s="138">
        <v>1</v>
      </c>
      <c r="D15" s="148">
        <v>1099174</v>
      </c>
      <c r="E15" s="2"/>
      <c r="F15" s="5"/>
      <c r="G15" s="5"/>
      <c r="H15" s="5"/>
      <c r="I15" s="5"/>
      <c r="J15" s="5"/>
      <c r="K15" s="5"/>
      <c r="L15" s="5"/>
      <c r="M15" s="5"/>
      <c r="N15" s="5"/>
    </row>
    <row r="16" spans="1:14" x14ac:dyDescent="0.25">
      <c r="A16" s="223"/>
      <c r="B16" s="69" t="s">
        <v>16</v>
      </c>
      <c r="C16" s="138"/>
      <c r="D16" s="148"/>
      <c r="E16" s="2"/>
      <c r="F16" s="5"/>
      <c r="G16" s="5">
        <v>1</v>
      </c>
      <c r="H16" s="5">
        <v>815424</v>
      </c>
      <c r="I16" s="5"/>
      <c r="J16" s="5"/>
      <c r="K16" s="5"/>
      <c r="L16" s="5"/>
      <c r="M16" s="5"/>
      <c r="N16" s="5"/>
    </row>
    <row r="17" spans="1:14" x14ac:dyDescent="0.25">
      <c r="A17" s="223"/>
      <c r="B17" s="69" t="s">
        <v>105</v>
      </c>
      <c r="C17" s="138"/>
      <c r="D17" s="148"/>
      <c r="E17" s="2">
        <v>1</v>
      </c>
      <c r="F17" s="5">
        <v>481768</v>
      </c>
      <c r="G17" s="5"/>
      <c r="H17" s="5"/>
      <c r="I17" s="5"/>
      <c r="J17" s="5"/>
      <c r="K17" s="5"/>
      <c r="L17" s="5"/>
      <c r="M17" s="5"/>
      <c r="N17" s="5"/>
    </row>
    <row r="18" spans="1:14" x14ac:dyDescent="0.25">
      <c r="A18" s="223"/>
      <c r="B18" s="69" t="s">
        <v>104</v>
      </c>
      <c r="C18" s="138">
        <v>1</v>
      </c>
      <c r="D18" s="148">
        <v>159983</v>
      </c>
      <c r="E18" s="2">
        <v>1</v>
      </c>
      <c r="F18" s="5">
        <v>158665</v>
      </c>
      <c r="G18" s="5"/>
      <c r="H18" s="5"/>
      <c r="I18" s="5"/>
      <c r="J18" s="5"/>
      <c r="K18" s="5"/>
      <c r="L18" s="5"/>
      <c r="M18" s="5"/>
      <c r="N18" s="5"/>
    </row>
    <row r="19" spans="1:14" x14ac:dyDescent="0.25">
      <c r="A19" s="223"/>
      <c r="B19" s="69" t="s">
        <v>64</v>
      </c>
      <c r="C19" s="138"/>
      <c r="D19" s="148"/>
      <c r="E19" s="2"/>
      <c r="F19" s="2"/>
      <c r="G19" s="2"/>
      <c r="H19" s="2"/>
      <c r="I19" s="2"/>
      <c r="J19" s="2"/>
      <c r="K19" s="5">
        <v>1</v>
      </c>
      <c r="L19" s="5">
        <v>865374</v>
      </c>
      <c r="M19" s="5"/>
      <c r="N19" s="5"/>
    </row>
    <row r="20" spans="1:14" x14ac:dyDescent="0.25">
      <c r="A20" s="223"/>
      <c r="B20" s="69" t="s">
        <v>17</v>
      </c>
      <c r="C20" s="138"/>
      <c r="D20" s="148"/>
      <c r="E20" s="2"/>
      <c r="F20" s="5"/>
      <c r="G20" s="5">
        <v>1</v>
      </c>
      <c r="H20" s="5">
        <v>3181818</v>
      </c>
      <c r="I20" s="5"/>
      <c r="J20" s="5"/>
      <c r="K20" s="5"/>
      <c r="L20" s="5"/>
      <c r="M20" s="5"/>
      <c r="N20" s="5"/>
    </row>
    <row r="21" spans="1:14" x14ac:dyDescent="0.25">
      <c r="A21" s="223"/>
      <c r="B21" s="69" t="s">
        <v>15</v>
      </c>
      <c r="C21" s="138"/>
      <c r="D21" s="148"/>
      <c r="E21" s="2"/>
      <c r="F21" s="5"/>
      <c r="G21" s="5">
        <v>1</v>
      </c>
      <c r="H21" s="5">
        <v>928750</v>
      </c>
      <c r="I21" s="5"/>
      <c r="J21" s="5"/>
      <c r="K21" s="5"/>
      <c r="L21" s="5"/>
      <c r="M21" s="5"/>
      <c r="N21" s="5"/>
    </row>
    <row r="22" spans="1:14" x14ac:dyDescent="0.25">
      <c r="A22" s="223"/>
      <c r="B22" s="69" t="s">
        <v>10</v>
      </c>
      <c r="C22" s="138"/>
      <c r="D22" s="148"/>
      <c r="E22" s="2"/>
      <c r="F22" s="5"/>
      <c r="G22" s="5">
        <v>1</v>
      </c>
      <c r="H22" s="5">
        <v>6795200</v>
      </c>
      <c r="I22" s="5"/>
      <c r="J22" s="5"/>
      <c r="K22" s="5"/>
      <c r="L22" s="5"/>
      <c r="M22" s="5"/>
      <c r="N22" s="5"/>
    </row>
    <row r="23" spans="1:14" x14ac:dyDescent="0.25">
      <c r="A23" s="223"/>
      <c r="B23" s="69" t="s">
        <v>62</v>
      </c>
      <c r="C23" s="138"/>
      <c r="D23" s="148"/>
      <c r="E23" s="2"/>
      <c r="F23" s="5"/>
      <c r="G23" s="5"/>
      <c r="H23" s="5"/>
      <c r="I23" s="5">
        <v>1</v>
      </c>
      <c r="J23" s="5">
        <v>1107895</v>
      </c>
      <c r="K23" s="5"/>
      <c r="L23" s="5"/>
      <c r="M23" s="5"/>
      <c r="N23" s="5"/>
    </row>
    <row r="24" spans="1:14" x14ac:dyDescent="0.25">
      <c r="A24" s="223"/>
      <c r="B24" s="69" t="s">
        <v>132</v>
      </c>
      <c r="C24" s="138">
        <v>1</v>
      </c>
      <c r="D24" s="148">
        <v>1398573</v>
      </c>
      <c r="E24" s="2"/>
      <c r="F24" s="5"/>
      <c r="G24" s="5"/>
      <c r="H24" s="5"/>
      <c r="I24" s="131"/>
      <c r="J24" s="131"/>
      <c r="K24" s="131"/>
      <c r="L24" s="131"/>
      <c r="M24" s="131"/>
      <c r="N24" s="131"/>
    </row>
    <row r="25" spans="1:14" x14ac:dyDescent="0.25">
      <c r="A25" s="223"/>
      <c r="B25" s="69" t="s">
        <v>136</v>
      </c>
      <c r="C25" s="138">
        <v>1</v>
      </c>
      <c r="D25" s="148">
        <v>484928</v>
      </c>
      <c r="E25" s="2"/>
      <c r="F25" s="5"/>
      <c r="G25" s="5"/>
      <c r="H25" s="5"/>
      <c r="I25" s="131"/>
      <c r="J25" s="131"/>
      <c r="K25" s="131"/>
      <c r="L25" s="131"/>
      <c r="M25" s="131"/>
      <c r="N25" s="131"/>
    </row>
    <row r="26" spans="1:14" x14ac:dyDescent="0.25">
      <c r="A26" s="223"/>
      <c r="B26" s="69" t="s">
        <v>126</v>
      </c>
      <c r="C26" s="138">
        <v>1</v>
      </c>
      <c r="D26" s="148">
        <v>418000</v>
      </c>
      <c r="E26" s="2"/>
      <c r="F26" s="5"/>
      <c r="G26" s="5"/>
      <c r="H26" s="5"/>
      <c r="I26" s="131"/>
      <c r="J26" s="131"/>
      <c r="K26" s="131"/>
      <c r="L26" s="131"/>
      <c r="M26" s="131"/>
      <c r="N26" s="131"/>
    </row>
    <row r="27" spans="1:14" x14ac:dyDescent="0.25">
      <c r="A27" s="223" t="s">
        <v>112</v>
      </c>
      <c r="B27" s="69" t="s">
        <v>134</v>
      </c>
      <c r="C27" s="138">
        <v>1</v>
      </c>
      <c r="D27" s="148">
        <v>6189374</v>
      </c>
      <c r="E27" s="2"/>
      <c r="F27" s="5"/>
      <c r="G27" s="5"/>
      <c r="H27" s="5"/>
      <c r="I27" s="131"/>
      <c r="J27" s="131"/>
      <c r="K27" s="131"/>
      <c r="L27" s="131"/>
      <c r="M27" s="131"/>
      <c r="N27" s="131"/>
    </row>
    <row r="28" spans="1:14" x14ac:dyDescent="0.25">
      <c r="A28" s="223"/>
      <c r="B28" s="69" t="s">
        <v>107</v>
      </c>
      <c r="C28" s="138"/>
      <c r="D28" s="148"/>
      <c r="E28" s="2">
        <v>1</v>
      </c>
      <c r="F28" s="5">
        <v>1192890</v>
      </c>
      <c r="G28" s="5"/>
      <c r="H28" s="5"/>
      <c r="I28" s="131"/>
      <c r="J28" s="131"/>
      <c r="K28" s="131"/>
      <c r="L28" s="131"/>
      <c r="M28" s="131"/>
      <c r="N28" s="131"/>
    </row>
    <row r="29" spans="1:14" x14ac:dyDescent="0.25">
      <c r="A29" s="143" t="s">
        <v>125</v>
      </c>
      <c r="B29" s="69" t="s">
        <v>125</v>
      </c>
      <c r="C29" s="138">
        <v>1</v>
      </c>
      <c r="D29" s="148">
        <v>555184</v>
      </c>
      <c r="E29" s="2"/>
      <c r="F29" s="5"/>
      <c r="G29" s="5"/>
      <c r="H29" s="5"/>
      <c r="I29" s="131"/>
      <c r="J29" s="131"/>
      <c r="K29" s="131"/>
      <c r="L29" s="131"/>
      <c r="M29" s="131"/>
      <c r="N29" s="131"/>
    </row>
    <row r="30" spans="1:14" x14ac:dyDescent="0.25">
      <c r="A30" s="2" t="s">
        <v>24</v>
      </c>
      <c r="B30" s="69" t="s">
        <v>18</v>
      </c>
      <c r="C30" s="138"/>
      <c r="D30" s="148"/>
      <c r="E30" s="2"/>
      <c r="F30" s="5"/>
      <c r="G30" s="5">
        <v>1</v>
      </c>
      <c r="H30" s="5">
        <v>440571</v>
      </c>
      <c r="I30" s="131"/>
      <c r="J30" s="131"/>
      <c r="K30" s="131"/>
      <c r="L30" s="131"/>
      <c r="M30" s="131"/>
      <c r="N30" s="131"/>
    </row>
    <row r="31" spans="1:14" ht="15.75" thickBot="1" x14ac:dyDescent="0.3">
      <c r="A31" s="72" t="s">
        <v>111</v>
      </c>
      <c r="B31" s="73" t="s">
        <v>106</v>
      </c>
      <c r="C31" s="139"/>
      <c r="D31" s="92"/>
      <c r="E31" s="72">
        <v>1</v>
      </c>
      <c r="F31" s="72">
        <v>2366000</v>
      </c>
      <c r="G31" s="72"/>
      <c r="H31" s="72"/>
      <c r="I31" s="74"/>
      <c r="J31" s="74"/>
      <c r="K31" s="74"/>
      <c r="L31" s="74"/>
      <c r="M31" s="74"/>
      <c r="N31" s="74"/>
    </row>
    <row r="32" spans="1:14" x14ac:dyDescent="0.25">
      <c r="A32" s="220" t="s">
        <v>23</v>
      </c>
      <c r="B32" s="71" t="s">
        <v>12</v>
      </c>
      <c r="C32" s="140">
        <v>1</v>
      </c>
      <c r="D32" s="149">
        <v>1751160</v>
      </c>
      <c r="E32" s="6">
        <v>1</v>
      </c>
      <c r="F32" s="18">
        <v>280999</v>
      </c>
      <c r="G32" s="18">
        <v>1</v>
      </c>
      <c r="H32" s="18">
        <v>1427019</v>
      </c>
      <c r="I32" s="18">
        <v>1</v>
      </c>
      <c r="J32" s="18">
        <v>2078804</v>
      </c>
      <c r="K32" s="18"/>
      <c r="L32" s="18"/>
      <c r="M32" s="18"/>
      <c r="N32" s="18"/>
    </row>
    <row r="33" spans="1:14" x14ac:dyDescent="0.25">
      <c r="A33" s="220"/>
      <c r="B33" s="71" t="s">
        <v>109</v>
      </c>
      <c r="C33" s="140"/>
      <c r="D33" s="149"/>
      <c r="E33" s="6">
        <v>1</v>
      </c>
      <c r="F33" s="18">
        <v>583141</v>
      </c>
      <c r="G33" s="18"/>
      <c r="H33" s="18"/>
      <c r="I33" s="18"/>
      <c r="J33" s="18"/>
      <c r="K33" s="18"/>
      <c r="L33" s="18"/>
      <c r="M33" s="18"/>
      <c r="N33" s="18"/>
    </row>
    <row r="34" spans="1:14" x14ac:dyDescent="0.25">
      <c r="A34" s="221"/>
      <c r="B34" s="70" t="s">
        <v>11</v>
      </c>
      <c r="C34" s="138"/>
      <c r="D34" s="148"/>
      <c r="E34" s="2"/>
      <c r="F34" s="5"/>
      <c r="G34" s="5">
        <v>1</v>
      </c>
      <c r="H34" s="5">
        <v>6831737</v>
      </c>
      <c r="I34" s="5">
        <v>1</v>
      </c>
      <c r="J34" s="5">
        <v>1310273</v>
      </c>
      <c r="K34" s="5">
        <v>1</v>
      </c>
      <c r="L34" s="5">
        <v>1802559</v>
      </c>
      <c r="M34" s="5">
        <v>1</v>
      </c>
      <c r="N34" s="5">
        <v>1210000</v>
      </c>
    </row>
    <row r="35" spans="1:14" x14ac:dyDescent="0.25">
      <c r="A35" s="2" t="s">
        <v>13</v>
      </c>
      <c r="B35" s="70" t="s">
        <v>13</v>
      </c>
      <c r="C35" s="138"/>
      <c r="D35" s="148"/>
      <c r="E35" s="2"/>
      <c r="F35" s="5"/>
      <c r="G35" s="5">
        <v>1</v>
      </c>
      <c r="H35" s="5">
        <v>1324230</v>
      </c>
      <c r="I35" s="5"/>
      <c r="J35" s="5"/>
      <c r="K35" s="5"/>
      <c r="L35" s="5"/>
      <c r="M35" s="5"/>
      <c r="N35" s="5"/>
    </row>
    <row r="36" spans="1:14" x14ac:dyDescent="0.25">
      <c r="A36" s="2" t="s">
        <v>138</v>
      </c>
      <c r="B36" s="70" t="s">
        <v>137</v>
      </c>
      <c r="C36" s="138">
        <v>1</v>
      </c>
      <c r="D36" s="148">
        <v>1400826</v>
      </c>
      <c r="E36" s="2"/>
      <c r="F36" s="5"/>
      <c r="G36" s="5"/>
      <c r="H36" s="5"/>
      <c r="I36" s="5"/>
      <c r="J36" s="5"/>
      <c r="K36" s="5"/>
      <c r="L36" s="5"/>
      <c r="M36" s="5"/>
      <c r="N36" s="5"/>
    </row>
    <row r="37" spans="1:14" x14ac:dyDescent="0.25">
      <c r="A37" s="2" t="s">
        <v>22</v>
      </c>
      <c r="B37" s="70" t="s">
        <v>19</v>
      </c>
      <c r="C37" s="138"/>
      <c r="D37" s="148"/>
      <c r="E37" s="2"/>
      <c r="F37" s="5"/>
      <c r="G37" s="5">
        <v>1</v>
      </c>
      <c r="H37" s="5">
        <v>684000</v>
      </c>
      <c r="I37" s="5"/>
      <c r="J37" s="5"/>
      <c r="K37" s="5"/>
      <c r="L37" s="5"/>
      <c r="M37" s="5"/>
      <c r="N37" s="5"/>
    </row>
    <row r="38" spans="1:14" x14ac:dyDescent="0.25">
      <c r="A38" s="218" t="s">
        <v>3</v>
      </c>
      <c r="B38" s="219"/>
      <c r="C38" s="133">
        <f t="shared" ref="C38:I38" si="0">SUM(C5:C37)</f>
        <v>18</v>
      </c>
      <c r="D38" s="150">
        <f t="shared" si="0"/>
        <v>25855925</v>
      </c>
      <c r="E38" s="116">
        <f t="shared" si="0"/>
        <v>8</v>
      </c>
      <c r="F38" s="79">
        <f t="shared" si="0"/>
        <v>10843914</v>
      </c>
      <c r="G38" s="79">
        <f t="shared" si="0"/>
        <v>11</v>
      </c>
      <c r="H38" s="79">
        <f t="shared" si="0"/>
        <v>90414446</v>
      </c>
      <c r="I38" s="79">
        <f t="shared" si="0"/>
        <v>4</v>
      </c>
      <c r="J38" s="79">
        <f>SUM(J11:J37)</f>
        <v>6305294</v>
      </c>
      <c r="K38" s="79">
        <f>SUM(K5:K37)</f>
        <v>2</v>
      </c>
      <c r="L38" s="79">
        <f>SUM(L17:L37)</f>
        <v>2667933</v>
      </c>
      <c r="M38" s="79">
        <f>SUM(M5:M37)</f>
        <v>1</v>
      </c>
      <c r="N38" s="79">
        <f>SUM(N34:N37)</f>
        <v>1210000</v>
      </c>
    </row>
    <row r="39" spans="1:14" x14ac:dyDescent="0.25">
      <c r="E39" s="75"/>
      <c r="F39" s="75"/>
      <c r="G39" s="75"/>
      <c r="H39" s="75"/>
      <c r="I39" s="75"/>
      <c r="J39" s="75"/>
      <c r="K39" s="75"/>
      <c r="L39" s="75"/>
      <c r="M39" s="75"/>
      <c r="N39" s="75"/>
    </row>
    <row r="40" spans="1:14" x14ac:dyDescent="0.25">
      <c r="E40" s="75"/>
      <c r="F40" s="75"/>
      <c r="G40" s="75"/>
      <c r="H40" s="75"/>
      <c r="I40" s="75"/>
      <c r="J40" s="75"/>
      <c r="K40" s="75"/>
      <c r="L40" s="75"/>
      <c r="M40" s="75"/>
      <c r="N40" s="75"/>
    </row>
    <row r="41" spans="1:14" x14ac:dyDescent="0.25">
      <c r="H41" s="76"/>
      <c r="I41" s="76"/>
      <c r="J41" s="77"/>
    </row>
    <row r="42" spans="1:14" x14ac:dyDescent="0.25">
      <c r="H42" s="76"/>
      <c r="I42" s="76"/>
      <c r="J42" s="77"/>
    </row>
    <row r="43" spans="1:14" x14ac:dyDescent="0.25">
      <c r="H43" s="76"/>
      <c r="I43" s="76"/>
      <c r="J43" s="77"/>
    </row>
    <row r="44" spans="1:14" x14ac:dyDescent="0.25">
      <c r="H44" s="76"/>
      <c r="I44" s="76"/>
      <c r="J44" s="77"/>
    </row>
  </sheetData>
  <mergeCells count="13">
    <mergeCell ref="A10:A26"/>
    <mergeCell ref="M3:N3"/>
    <mergeCell ref="A3:B4"/>
    <mergeCell ref="A38:B38"/>
    <mergeCell ref="A32:A34"/>
    <mergeCell ref="I3:J3"/>
    <mergeCell ref="K3:L3"/>
    <mergeCell ref="G3:H3"/>
    <mergeCell ref="E3:F3"/>
    <mergeCell ref="C3:D3"/>
    <mergeCell ref="A6:A7"/>
    <mergeCell ref="A8:A9"/>
    <mergeCell ref="A27:A28"/>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4:H50"/>
  <sheetViews>
    <sheetView workbookViewId="0">
      <selection activeCell="U24" sqref="U24"/>
    </sheetView>
  </sheetViews>
  <sheetFormatPr defaultRowHeight="15" x14ac:dyDescent="0.25"/>
  <cols>
    <col min="1" max="1" width="11.140625" customWidth="1"/>
    <col min="2" max="2" width="9.140625" customWidth="1"/>
  </cols>
  <sheetData>
    <row r="34" spans="1:8" ht="29.25" customHeight="1" x14ac:dyDescent="0.25">
      <c r="A34" s="69" t="s">
        <v>14</v>
      </c>
      <c r="B34" s="222" t="s">
        <v>139</v>
      </c>
      <c r="C34" s="222"/>
      <c r="D34" s="222"/>
      <c r="E34" s="222"/>
      <c r="F34" s="222"/>
      <c r="G34" s="51">
        <v>4.6370000000000001E-2</v>
      </c>
    </row>
    <row r="35" spans="1:8" x14ac:dyDescent="0.25">
      <c r="A35" s="69" t="s">
        <v>9</v>
      </c>
      <c r="B35" s="222" t="s">
        <v>140</v>
      </c>
      <c r="C35" s="222"/>
      <c r="D35" s="222"/>
      <c r="E35" s="222"/>
      <c r="F35" s="222"/>
      <c r="G35" s="51">
        <v>3.4660000000000003E-2</v>
      </c>
    </row>
    <row r="36" spans="1:8" x14ac:dyDescent="0.25">
      <c r="A36" s="69" t="s">
        <v>130</v>
      </c>
      <c r="B36" s="224" t="s">
        <v>141</v>
      </c>
      <c r="C36" s="225"/>
      <c r="D36" s="225"/>
      <c r="E36" s="225"/>
      <c r="F36" s="226"/>
      <c r="G36" s="51">
        <v>1.898E-2</v>
      </c>
    </row>
    <row r="37" spans="1:8" ht="30" customHeight="1" x14ac:dyDescent="0.25">
      <c r="A37" s="69" t="s">
        <v>127</v>
      </c>
      <c r="B37" s="227" t="s">
        <v>142</v>
      </c>
      <c r="C37" s="228"/>
      <c r="D37" s="228"/>
      <c r="E37" s="228"/>
      <c r="F37" s="229"/>
      <c r="G37" s="51">
        <v>1.7010000000000001E-2</v>
      </c>
    </row>
    <row r="38" spans="1:8" ht="30" customHeight="1" x14ac:dyDescent="0.25">
      <c r="A38" s="69" t="s">
        <v>131</v>
      </c>
      <c r="B38" s="224" t="s">
        <v>143</v>
      </c>
      <c r="C38" s="225"/>
      <c r="D38" s="225"/>
      <c r="E38" s="225"/>
      <c r="F38" s="226"/>
      <c r="G38" s="51">
        <v>0.41199999999999998</v>
      </c>
    </row>
    <row r="39" spans="1:8" ht="30" customHeight="1" x14ac:dyDescent="0.25">
      <c r="A39" s="69" t="s">
        <v>150</v>
      </c>
      <c r="B39" t="s">
        <v>151</v>
      </c>
      <c r="C39" s="231"/>
      <c r="D39" s="231"/>
      <c r="E39" s="231"/>
      <c r="F39" s="232"/>
      <c r="G39" s="51">
        <v>7.2999999999999995E-2</v>
      </c>
    </row>
    <row r="40" spans="1:8" x14ac:dyDescent="0.25">
      <c r="A40" s="69" t="s">
        <v>145</v>
      </c>
      <c r="B40" s="224" t="s">
        <v>144</v>
      </c>
      <c r="C40" s="225"/>
      <c r="D40" s="225"/>
      <c r="E40" s="225"/>
      <c r="F40" s="226"/>
      <c r="G40" s="51">
        <v>1.61E-2</v>
      </c>
    </row>
    <row r="41" spans="1:8" x14ac:dyDescent="0.25">
      <c r="A41" s="69" t="s">
        <v>134</v>
      </c>
      <c r="B41" s="224" t="s">
        <v>146</v>
      </c>
      <c r="C41" s="225"/>
      <c r="D41" s="225"/>
      <c r="E41" s="225"/>
      <c r="F41" s="226"/>
      <c r="G41" s="51">
        <v>0.23930000000000001</v>
      </c>
    </row>
    <row r="42" spans="1:8" x14ac:dyDescent="0.25">
      <c r="A42" s="69" t="s">
        <v>125</v>
      </c>
      <c r="B42" s="224" t="s">
        <v>147</v>
      </c>
      <c r="C42" s="225"/>
      <c r="D42" s="225"/>
      <c r="E42" s="225"/>
      <c r="F42" s="226"/>
      <c r="G42" s="51">
        <v>2.1399999999999999E-2</v>
      </c>
    </row>
    <row r="43" spans="1:8" ht="30" customHeight="1" x14ac:dyDescent="0.25">
      <c r="A43" s="70" t="s">
        <v>12</v>
      </c>
      <c r="B43" s="212" t="s">
        <v>148</v>
      </c>
      <c r="C43" s="212"/>
      <c r="D43" s="212"/>
      <c r="E43" s="212"/>
      <c r="F43" s="212"/>
      <c r="G43" s="51">
        <v>6.7699999999999996E-2</v>
      </c>
    </row>
    <row r="44" spans="1:8" x14ac:dyDescent="0.25">
      <c r="A44" s="70" t="s">
        <v>137</v>
      </c>
      <c r="B44" s="230" t="s">
        <v>149</v>
      </c>
      <c r="C44" s="230"/>
      <c r="D44" s="230"/>
      <c r="E44" s="230"/>
      <c r="F44" s="230"/>
      <c r="G44" s="51">
        <v>5.4100000000000002E-2</v>
      </c>
      <c r="H44" s="38"/>
    </row>
    <row r="45" spans="1:8" x14ac:dyDescent="0.25">
      <c r="G45" s="38"/>
    </row>
    <row r="47" spans="1:8" ht="15.75" thickBot="1" x14ac:dyDescent="0.3">
      <c r="A47" s="11"/>
      <c r="B47" s="11" t="s">
        <v>113</v>
      </c>
      <c r="C47" s="11" t="s">
        <v>99</v>
      </c>
      <c r="D47" s="11" t="s">
        <v>8</v>
      </c>
      <c r="E47" s="11" t="s">
        <v>7</v>
      </c>
      <c r="F47" s="11" t="s">
        <v>6</v>
      </c>
      <c r="G47" s="11" t="s">
        <v>4</v>
      </c>
    </row>
    <row r="48" spans="1:8" ht="15.75" thickTop="1" x14ac:dyDescent="0.25">
      <c r="A48" s="6" t="s">
        <v>65</v>
      </c>
      <c r="B48" s="6">
        <v>0</v>
      </c>
      <c r="C48" s="6">
        <v>0</v>
      </c>
      <c r="D48" s="6">
        <v>0</v>
      </c>
      <c r="E48" s="6">
        <v>0</v>
      </c>
      <c r="F48" s="6">
        <v>0</v>
      </c>
      <c r="G48" s="6">
        <v>0</v>
      </c>
    </row>
    <row r="49" spans="1:7" x14ac:dyDescent="0.25">
      <c r="A49" s="2" t="s">
        <v>66</v>
      </c>
      <c r="B49" s="2">
        <v>16</v>
      </c>
      <c r="C49" s="2">
        <v>6</v>
      </c>
      <c r="D49" s="2">
        <v>7</v>
      </c>
      <c r="E49" s="2">
        <v>2</v>
      </c>
      <c r="F49" s="2">
        <v>1</v>
      </c>
      <c r="G49" s="2">
        <v>0</v>
      </c>
    </row>
    <row r="50" spans="1:7" x14ac:dyDescent="0.25">
      <c r="A50" s="2" t="s">
        <v>67</v>
      </c>
      <c r="B50" s="2">
        <v>2</v>
      </c>
      <c r="C50" s="2">
        <v>2</v>
      </c>
      <c r="D50" s="2">
        <v>4</v>
      </c>
      <c r="E50" s="2">
        <v>2</v>
      </c>
      <c r="F50" s="2">
        <v>1</v>
      </c>
      <c r="G50" s="2">
        <v>1</v>
      </c>
    </row>
  </sheetData>
  <mergeCells count="10">
    <mergeCell ref="B42:F42"/>
    <mergeCell ref="B38:F38"/>
    <mergeCell ref="B35:F35"/>
    <mergeCell ref="B43:F43"/>
    <mergeCell ref="B44:F44"/>
    <mergeCell ref="B34:F34"/>
    <mergeCell ref="B36:F36"/>
    <mergeCell ref="B37:F37"/>
    <mergeCell ref="B40:F40"/>
    <mergeCell ref="B41:F4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5:E32"/>
  <sheetViews>
    <sheetView workbookViewId="0">
      <selection activeCell="K31" sqref="K31"/>
    </sheetView>
  </sheetViews>
  <sheetFormatPr defaultRowHeight="15" x14ac:dyDescent="0.25"/>
  <cols>
    <col min="2" max="2" width="10.42578125" customWidth="1"/>
    <col min="3" max="3" width="11.5703125" customWidth="1"/>
    <col min="4" max="5" width="12.140625" bestFit="1" customWidth="1"/>
  </cols>
  <sheetData>
    <row r="25" spans="1:5" ht="26.25" customHeight="1" x14ac:dyDescent="0.25"/>
    <row r="26" spans="1:5" ht="120.75" thickBot="1" x14ac:dyDescent="0.3">
      <c r="A26" s="109"/>
      <c r="B26" s="12" t="s">
        <v>46</v>
      </c>
      <c r="C26" s="12" t="s">
        <v>47</v>
      </c>
      <c r="D26" s="12" t="s">
        <v>48</v>
      </c>
      <c r="E26" s="12" t="s">
        <v>49</v>
      </c>
    </row>
    <row r="27" spans="1:5" ht="15.75" thickTop="1" x14ac:dyDescent="0.25">
      <c r="A27" s="6" t="s">
        <v>4</v>
      </c>
      <c r="B27" s="7">
        <v>1</v>
      </c>
      <c r="C27" s="7">
        <v>2</v>
      </c>
      <c r="D27" s="9">
        <v>1210000</v>
      </c>
      <c r="E27" s="9">
        <v>312514</v>
      </c>
    </row>
    <row r="28" spans="1:5" x14ac:dyDescent="0.25">
      <c r="A28" s="2" t="s">
        <v>6</v>
      </c>
      <c r="B28" s="3">
        <v>2</v>
      </c>
      <c r="C28" s="3">
        <v>18</v>
      </c>
      <c r="D28" s="4">
        <v>2667933</v>
      </c>
      <c r="E28" s="4">
        <v>2535151</v>
      </c>
    </row>
    <row r="29" spans="1:5" x14ac:dyDescent="0.25">
      <c r="A29" s="2" t="s">
        <v>7</v>
      </c>
      <c r="B29" s="3">
        <v>4</v>
      </c>
      <c r="C29" s="3">
        <v>13</v>
      </c>
      <c r="D29" s="4">
        <v>6305295</v>
      </c>
      <c r="E29" s="4">
        <v>1178053</v>
      </c>
    </row>
    <row r="30" spans="1:5" x14ac:dyDescent="0.25">
      <c r="A30" s="2" t="s">
        <v>8</v>
      </c>
      <c r="B30" s="2">
        <v>11</v>
      </c>
      <c r="C30" s="2">
        <v>27</v>
      </c>
      <c r="D30" s="5">
        <v>90414446</v>
      </c>
      <c r="E30" s="5">
        <v>94497858</v>
      </c>
    </row>
    <row r="31" spans="1:5" x14ac:dyDescent="0.25">
      <c r="A31" s="81" t="s">
        <v>99</v>
      </c>
      <c r="B31" s="2">
        <v>8</v>
      </c>
      <c r="C31" s="2">
        <v>19</v>
      </c>
      <c r="D31" s="5">
        <v>10843914</v>
      </c>
      <c r="E31" s="5">
        <v>4462459</v>
      </c>
    </row>
    <row r="32" spans="1:5" x14ac:dyDescent="0.25">
      <c r="A32" s="81" t="s">
        <v>113</v>
      </c>
      <c r="B32" s="2">
        <f>Pavisam_kopā_tab!B10</f>
        <v>18</v>
      </c>
      <c r="C32" s="2">
        <f>Pavisam_kopā_tab!C10</f>
        <v>18</v>
      </c>
      <c r="D32" s="5">
        <f>Pavisam_kopā_tab!E10</f>
        <v>25855926</v>
      </c>
      <c r="E32" s="5">
        <f>Pavisam_kopā_tab!F10</f>
        <v>2763481</v>
      </c>
    </row>
  </sheetData>
  <conditionalFormatting sqref="B27:C32">
    <cfRule type="dataBar" priority="3">
      <dataBar>
        <cfvo type="min"/>
        <cfvo type="max"/>
        <color rgb="FF638EC6"/>
      </dataBar>
      <extLst>
        <ext xmlns:x14="http://schemas.microsoft.com/office/spreadsheetml/2009/9/main" uri="{B025F937-C7B1-47D3-B67F-A62EFF666E3E}">
          <x14:id>{B2C9E13B-2275-42EB-A6C3-641B05159E55}</x14:id>
        </ext>
      </extLst>
    </cfRule>
    <cfRule type="iconSet" priority="4">
      <iconSet iconSet="3Arrows">
        <cfvo type="percent" val="0"/>
        <cfvo type="percent" val="33"/>
        <cfvo type="percent" val="67"/>
      </iconSet>
    </cfRule>
  </conditionalFormatting>
  <conditionalFormatting sqref="D27:E32">
    <cfRule type="dataBar" priority="1">
      <dataBar>
        <cfvo type="min"/>
        <cfvo type="max"/>
        <color rgb="FF638EC6"/>
      </dataBar>
      <extLst>
        <ext xmlns:x14="http://schemas.microsoft.com/office/spreadsheetml/2009/9/main" uri="{B025F937-C7B1-47D3-B67F-A62EFF666E3E}">
          <x14:id>{ACC04FB9-1A8F-4144-8C90-F4511E1B079B}</x14:id>
        </ext>
      </extLst>
    </cfRule>
    <cfRule type="iconSet" priority="2">
      <iconSet iconSet="3Arrows">
        <cfvo type="percent" val="0"/>
        <cfvo type="percent" val="33"/>
        <cfvo type="percent" val="67"/>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2C9E13B-2275-42EB-A6C3-641B05159E55}">
            <x14:dataBar minLength="0" maxLength="100" gradient="0">
              <x14:cfvo type="autoMin"/>
              <x14:cfvo type="autoMax"/>
              <x14:negativeFillColor rgb="FFFF0000"/>
              <x14:axisColor rgb="FF000000"/>
            </x14:dataBar>
          </x14:cfRule>
          <xm:sqref>B27:C32</xm:sqref>
        </x14:conditionalFormatting>
        <x14:conditionalFormatting xmlns:xm="http://schemas.microsoft.com/office/excel/2006/main">
          <x14:cfRule type="dataBar" id="{ACC04FB9-1A8F-4144-8C90-F4511E1B079B}">
            <x14:dataBar minLength="0" maxLength="100" gradient="0">
              <x14:cfvo type="autoMin"/>
              <x14:cfvo type="autoMax"/>
              <x14:negativeFillColor rgb="FFFF0000"/>
              <x14:axisColor rgb="FF000000"/>
            </x14:dataBar>
          </x14:cfRule>
          <xm:sqref>D27:E32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
  <sheetViews>
    <sheetView workbookViewId="0">
      <selection activeCell="M33" sqref="M33"/>
    </sheetView>
  </sheetViews>
  <sheetFormatPr defaultRowHeight="15" x14ac:dyDescent="0.25"/>
  <cols>
    <col min="2" max="2" width="9.85546875" customWidth="1"/>
    <col min="3" max="3" width="10.140625" customWidth="1"/>
    <col min="4" max="4" width="6.5703125" customWidth="1"/>
    <col min="5" max="6" width="9.85546875" bestFit="1" customWidth="1"/>
    <col min="7" max="7" width="10.85546875" bestFit="1" customWidth="1"/>
  </cols>
  <sheetData>
    <row r="1" spans="1:7" x14ac:dyDescent="0.25">
      <c r="A1" s="1" t="s">
        <v>85</v>
      </c>
    </row>
    <row r="3" spans="1:7" ht="30.75" customHeight="1" x14ac:dyDescent="0.25">
      <c r="A3" s="154"/>
      <c r="B3" s="151" t="s">
        <v>0</v>
      </c>
      <c r="C3" s="152"/>
      <c r="D3" s="153"/>
      <c r="E3" s="156" t="s">
        <v>87</v>
      </c>
      <c r="F3" s="157"/>
      <c r="G3" s="158"/>
    </row>
    <row r="4" spans="1:7" ht="45.75" thickBot="1" x14ac:dyDescent="0.3">
      <c r="A4" s="155"/>
      <c r="B4" s="12" t="s">
        <v>1</v>
      </c>
      <c r="C4" s="12" t="s">
        <v>2</v>
      </c>
      <c r="D4" s="13" t="s">
        <v>3</v>
      </c>
      <c r="E4" s="12" t="s">
        <v>1</v>
      </c>
      <c r="F4" s="12" t="s">
        <v>2</v>
      </c>
      <c r="G4" s="13" t="s">
        <v>3</v>
      </c>
    </row>
    <row r="5" spans="1:7" ht="15.75" thickTop="1" x14ac:dyDescent="0.25">
      <c r="A5" s="6" t="s">
        <v>4</v>
      </c>
      <c r="B5" s="7">
        <v>0</v>
      </c>
      <c r="C5" s="7">
        <v>0</v>
      </c>
      <c r="D5" s="8">
        <f>SUM(B5:C5)</f>
        <v>0</v>
      </c>
      <c r="E5" s="9">
        <v>0</v>
      </c>
      <c r="F5" s="7">
        <v>0</v>
      </c>
      <c r="G5" s="10">
        <f>SUM(E5:F5)</f>
        <v>0</v>
      </c>
    </row>
    <row r="6" spans="1:7" x14ac:dyDescent="0.25">
      <c r="A6" s="2" t="s">
        <v>6</v>
      </c>
      <c r="B6" s="3">
        <v>1</v>
      </c>
      <c r="C6" s="3">
        <v>11</v>
      </c>
      <c r="D6" s="3">
        <f>SUM(B6:C6)</f>
        <v>12</v>
      </c>
      <c r="E6" s="4">
        <v>865373</v>
      </c>
      <c r="F6" s="4">
        <v>1565587</v>
      </c>
      <c r="G6" s="4">
        <f>SUM(E6:F6)</f>
        <v>2430960</v>
      </c>
    </row>
    <row r="7" spans="1:7" x14ac:dyDescent="0.25">
      <c r="A7" s="2" t="s">
        <v>7</v>
      </c>
      <c r="B7" s="3">
        <v>1</v>
      </c>
      <c r="C7" s="3">
        <v>6</v>
      </c>
      <c r="D7" s="3">
        <f>SUM(B7:C7)</f>
        <v>7</v>
      </c>
      <c r="E7" s="4">
        <v>1107895</v>
      </c>
      <c r="F7" s="4">
        <v>202753</v>
      </c>
      <c r="G7" s="4">
        <f>SUM(E7:F7)</f>
        <v>1310648</v>
      </c>
    </row>
    <row r="8" spans="1:7" x14ac:dyDescent="0.25">
      <c r="A8" s="2" t="s">
        <v>8</v>
      </c>
      <c r="B8" s="2">
        <v>3</v>
      </c>
      <c r="C8" s="2">
        <v>7</v>
      </c>
      <c r="D8" s="2">
        <f>SUM(B8:C8)</f>
        <v>10</v>
      </c>
      <c r="E8" s="5">
        <v>14310937</v>
      </c>
      <c r="F8" s="5">
        <v>16110457</v>
      </c>
      <c r="G8" s="5">
        <f>SUM(E8:F8)</f>
        <v>30421394</v>
      </c>
    </row>
    <row r="9" spans="1:7" x14ac:dyDescent="0.25">
      <c r="A9" s="81" t="s">
        <v>99</v>
      </c>
      <c r="B9" s="2">
        <v>2</v>
      </c>
      <c r="C9" s="2">
        <v>9</v>
      </c>
      <c r="D9" s="2">
        <f>C9+B9</f>
        <v>11</v>
      </c>
      <c r="E9" s="5">
        <v>439664</v>
      </c>
      <c r="F9" s="5">
        <v>3059919</v>
      </c>
      <c r="G9" s="5">
        <f>F9+E9</f>
        <v>3499583</v>
      </c>
    </row>
    <row r="10" spans="1:7" x14ac:dyDescent="0.25">
      <c r="A10" s="81" t="s">
        <v>113</v>
      </c>
      <c r="B10" s="2">
        <v>3</v>
      </c>
      <c r="C10" s="2">
        <f>1+1+1+1+1+1+4</f>
        <v>10</v>
      </c>
      <c r="D10" s="2">
        <f>B10+C10</f>
        <v>13</v>
      </c>
      <c r="E10" s="5">
        <v>1133167</v>
      </c>
      <c r="F10" s="5">
        <f>977476+164474+45836+32780+10350+29500+94974</f>
        <v>1355390</v>
      </c>
      <c r="G10" s="5">
        <f>E10+F10</f>
        <v>2488557</v>
      </c>
    </row>
  </sheetData>
  <mergeCells count="3">
    <mergeCell ref="A3:A4"/>
    <mergeCell ref="B3:D3"/>
    <mergeCell ref="E3:G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4:I58"/>
  <sheetViews>
    <sheetView topLeftCell="A19" workbookViewId="0">
      <selection activeCell="P44" sqref="P44"/>
    </sheetView>
  </sheetViews>
  <sheetFormatPr defaultRowHeight="15" x14ac:dyDescent="0.25"/>
  <cols>
    <col min="1" max="1" width="9.140625" customWidth="1"/>
    <col min="2" max="2" width="9.85546875" customWidth="1"/>
    <col min="3" max="3" width="10.140625" customWidth="1"/>
    <col min="4" max="4" width="11.140625" customWidth="1"/>
    <col min="5" max="7" width="11.140625" bestFit="1" customWidth="1"/>
    <col min="8" max="8" width="12.7109375" customWidth="1"/>
    <col min="9" max="9" width="11.140625" bestFit="1" customWidth="1"/>
  </cols>
  <sheetData>
    <row r="34" spans="1:9" ht="31.5" customHeight="1" x14ac:dyDescent="0.25">
      <c r="A34" s="154"/>
      <c r="B34" s="151" t="s">
        <v>0</v>
      </c>
      <c r="C34" s="152"/>
      <c r="D34" s="153"/>
      <c r="E34" s="156" t="s">
        <v>41</v>
      </c>
      <c r="F34" s="157"/>
      <c r="G34" s="158"/>
      <c r="H34" s="159" t="s">
        <v>50</v>
      </c>
      <c r="I34" s="159"/>
    </row>
    <row r="35" spans="1:9" ht="45.75" thickBot="1" x14ac:dyDescent="0.3">
      <c r="A35" s="155"/>
      <c r="B35" s="12" t="s">
        <v>1</v>
      </c>
      <c r="C35" s="12" t="s">
        <v>2</v>
      </c>
      <c r="D35" s="13" t="s">
        <v>3</v>
      </c>
      <c r="E35" s="12" t="s">
        <v>1</v>
      </c>
      <c r="F35" s="12" t="s">
        <v>2</v>
      </c>
      <c r="G35" s="13" t="s">
        <v>3</v>
      </c>
      <c r="H35" s="45" t="s">
        <v>1</v>
      </c>
      <c r="I35" s="45" t="s">
        <v>2</v>
      </c>
    </row>
    <row r="36" spans="1:9" ht="15.75" thickTop="1" x14ac:dyDescent="0.25">
      <c r="A36" s="6" t="s">
        <v>4</v>
      </c>
      <c r="B36" s="7">
        <v>1</v>
      </c>
      <c r="C36" s="7">
        <v>2</v>
      </c>
      <c r="D36" s="8">
        <f>SUM(B36:C36)</f>
        <v>3</v>
      </c>
      <c r="E36" s="9">
        <v>1210000</v>
      </c>
      <c r="F36" s="9">
        <v>312514</v>
      </c>
      <c r="G36" s="10">
        <f>E36+F36</f>
        <v>1522514</v>
      </c>
      <c r="H36" s="18">
        <f t="shared" ref="H36:I39" si="0">E36/B36</f>
        <v>1210000</v>
      </c>
      <c r="I36" s="18">
        <f t="shared" si="0"/>
        <v>156257</v>
      </c>
    </row>
    <row r="37" spans="1:9" x14ac:dyDescent="0.25">
      <c r="A37" s="2" t="s">
        <v>6</v>
      </c>
      <c r="B37" s="3">
        <v>2</v>
      </c>
      <c r="C37" s="3">
        <v>18</v>
      </c>
      <c r="D37" s="3">
        <f>B37+C37</f>
        <v>20</v>
      </c>
      <c r="E37" s="4">
        <v>2667933</v>
      </c>
      <c r="F37" s="4">
        <v>2535151</v>
      </c>
      <c r="G37" s="4">
        <f>E37+F37</f>
        <v>5203084</v>
      </c>
      <c r="H37" s="5">
        <f t="shared" si="0"/>
        <v>1333966.5</v>
      </c>
      <c r="I37" s="5">
        <f t="shared" si="0"/>
        <v>140841.72222222222</v>
      </c>
    </row>
    <row r="38" spans="1:9" x14ac:dyDescent="0.25">
      <c r="A38" s="2" t="s">
        <v>7</v>
      </c>
      <c r="B38" s="3">
        <v>4</v>
      </c>
      <c r="C38" s="3">
        <v>13</v>
      </c>
      <c r="D38" s="3">
        <f>B38+C38</f>
        <v>17</v>
      </c>
      <c r="E38" s="4">
        <v>6305295</v>
      </c>
      <c r="F38" s="4">
        <v>1178053</v>
      </c>
      <c r="G38" s="4">
        <f>E38+F38</f>
        <v>7483348</v>
      </c>
      <c r="H38" s="5">
        <f t="shared" si="0"/>
        <v>1576323.75</v>
      </c>
      <c r="I38" s="5">
        <f t="shared" si="0"/>
        <v>90619.461538461532</v>
      </c>
    </row>
    <row r="39" spans="1:9" x14ac:dyDescent="0.25">
      <c r="A39" s="2" t="s">
        <v>8</v>
      </c>
      <c r="B39" s="2">
        <v>11</v>
      </c>
      <c r="C39" s="2">
        <v>27</v>
      </c>
      <c r="D39" s="2">
        <f>B39+C39</f>
        <v>38</v>
      </c>
      <c r="E39" s="5">
        <v>90414446</v>
      </c>
      <c r="F39" s="5">
        <v>94497858</v>
      </c>
      <c r="G39" s="5">
        <f>E39+F39</f>
        <v>184912304</v>
      </c>
      <c r="H39" s="5">
        <f>E39/B39</f>
        <v>8219495.0909090908</v>
      </c>
      <c r="I39" s="5">
        <f t="shared" si="0"/>
        <v>3499920.6666666665</v>
      </c>
    </row>
    <row r="40" spans="1:9" x14ac:dyDescent="0.25">
      <c r="A40" s="81" t="s">
        <v>99</v>
      </c>
      <c r="B40" s="2">
        <v>8</v>
      </c>
      <c r="C40" s="2">
        <v>19</v>
      </c>
      <c r="D40" s="2">
        <f>C40+B40</f>
        <v>27</v>
      </c>
      <c r="E40" s="5">
        <v>10843914</v>
      </c>
      <c r="F40" s="5">
        <v>4462459</v>
      </c>
      <c r="G40" s="5">
        <f>F40+E40</f>
        <v>15306373</v>
      </c>
      <c r="H40" s="5">
        <f>E40/B40</f>
        <v>1355489.25</v>
      </c>
      <c r="I40" s="5">
        <f>F40/C40</f>
        <v>234866.26315789475</v>
      </c>
    </row>
    <row r="41" spans="1:9" x14ac:dyDescent="0.25">
      <c r="A41" s="81" t="s">
        <v>113</v>
      </c>
      <c r="B41" s="2">
        <v>18</v>
      </c>
      <c r="C41" s="2">
        <v>18</v>
      </c>
      <c r="D41" s="2">
        <v>36</v>
      </c>
      <c r="E41" s="5">
        <v>25855926</v>
      </c>
      <c r="F41" s="5">
        <v>2763481</v>
      </c>
      <c r="G41" s="5">
        <v>28619407</v>
      </c>
      <c r="H41" s="5">
        <f>E41/B41</f>
        <v>1436440.3333333333</v>
      </c>
      <c r="I41" s="5">
        <f>F41/C41</f>
        <v>153526.72222222222</v>
      </c>
    </row>
    <row r="43" spans="1:9" ht="45.75" thickBot="1" x14ac:dyDescent="0.3">
      <c r="B43" s="12" t="s">
        <v>1</v>
      </c>
      <c r="C43" s="12" t="s">
        <v>2</v>
      </c>
      <c r="F43" s="12" t="s">
        <v>1</v>
      </c>
      <c r="G43" s="12" t="s">
        <v>2</v>
      </c>
    </row>
    <row r="44" spans="1:9" ht="15.75" thickTop="1" x14ac:dyDescent="0.25">
      <c r="A44" s="39" t="s">
        <v>4</v>
      </c>
      <c r="B44" s="41">
        <f t="shared" ref="B44:B49" si="1">B36/D36</f>
        <v>0.33333333333333331</v>
      </c>
      <c r="C44" s="42">
        <f t="shared" ref="C44:C49" si="2">C36/D36</f>
        <v>0.66666666666666663</v>
      </c>
      <c r="D44" s="38">
        <f>B44+C44</f>
        <v>1</v>
      </c>
      <c r="E44" s="39" t="s">
        <v>4</v>
      </c>
      <c r="F44" s="41">
        <f t="shared" ref="F44:F49" si="3">E36/G36</f>
        <v>0.79473817646340195</v>
      </c>
      <c r="G44" s="42">
        <f t="shared" ref="G44:G49" si="4">F36/G36</f>
        <v>0.20526182353659803</v>
      </c>
      <c r="H44" s="38">
        <f>F44+G44</f>
        <v>1</v>
      </c>
    </row>
    <row r="45" spans="1:9" x14ac:dyDescent="0.25">
      <c r="A45" s="40" t="s">
        <v>6</v>
      </c>
      <c r="B45" s="43">
        <f t="shared" si="1"/>
        <v>0.1</v>
      </c>
      <c r="C45" s="44">
        <f t="shared" si="2"/>
        <v>0.9</v>
      </c>
      <c r="D45" s="38">
        <f t="shared" ref="D45:D49" si="5">B45+C45</f>
        <v>1</v>
      </c>
      <c r="E45" s="40" t="s">
        <v>6</v>
      </c>
      <c r="F45" s="43">
        <f t="shared" si="3"/>
        <v>0.51275993237856621</v>
      </c>
      <c r="G45" s="44">
        <f t="shared" si="4"/>
        <v>0.48724006762143374</v>
      </c>
      <c r="H45" s="38">
        <f t="shared" ref="H45:H49" si="6">F45+G45</f>
        <v>1</v>
      </c>
    </row>
    <row r="46" spans="1:9" x14ac:dyDescent="0.25">
      <c r="A46" s="40" t="s">
        <v>7</v>
      </c>
      <c r="B46" s="43">
        <f t="shared" si="1"/>
        <v>0.23529411764705882</v>
      </c>
      <c r="C46" s="44">
        <f t="shared" si="2"/>
        <v>0.76470588235294112</v>
      </c>
      <c r="D46" s="38">
        <f t="shared" si="5"/>
        <v>1</v>
      </c>
      <c r="E46" s="40" t="s">
        <v>7</v>
      </c>
      <c r="F46" s="43">
        <f t="shared" si="3"/>
        <v>0.84257674506116775</v>
      </c>
      <c r="G46" s="44">
        <f t="shared" si="4"/>
        <v>0.15742325493883219</v>
      </c>
      <c r="H46" s="38">
        <f t="shared" si="6"/>
        <v>1</v>
      </c>
    </row>
    <row r="47" spans="1:9" x14ac:dyDescent="0.25">
      <c r="A47" s="113" t="s">
        <v>8</v>
      </c>
      <c r="B47" s="43">
        <f t="shared" si="1"/>
        <v>0.28947368421052633</v>
      </c>
      <c r="C47" s="44">
        <f t="shared" si="2"/>
        <v>0.71052631578947367</v>
      </c>
      <c r="D47" s="38">
        <f t="shared" si="5"/>
        <v>1</v>
      </c>
      <c r="E47" s="113" t="s">
        <v>8</v>
      </c>
      <c r="F47" s="43">
        <f t="shared" si="3"/>
        <v>0.48895851733046386</v>
      </c>
      <c r="G47" s="44">
        <f t="shared" si="4"/>
        <v>0.5110414826695362</v>
      </c>
      <c r="H47" s="38">
        <f t="shared" si="6"/>
        <v>1</v>
      </c>
    </row>
    <row r="48" spans="1:9" x14ac:dyDescent="0.25">
      <c r="A48" s="135" t="s">
        <v>99</v>
      </c>
      <c r="B48" s="136">
        <f t="shared" si="1"/>
        <v>0.29629629629629628</v>
      </c>
      <c r="C48" s="137">
        <f t="shared" si="2"/>
        <v>0.70370370370370372</v>
      </c>
      <c r="D48" s="38">
        <f t="shared" si="5"/>
        <v>1</v>
      </c>
      <c r="E48" s="135" t="s">
        <v>99</v>
      </c>
      <c r="F48" s="136">
        <f t="shared" si="3"/>
        <v>0.70845745102383173</v>
      </c>
      <c r="G48" s="137">
        <f t="shared" si="4"/>
        <v>0.29154254897616827</v>
      </c>
      <c r="H48" s="38">
        <f t="shared" si="6"/>
        <v>1</v>
      </c>
    </row>
    <row r="49" spans="1:8" x14ac:dyDescent="0.25">
      <c r="A49" s="81" t="s">
        <v>113</v>
      </c>
      <c r="B49" s="114">
        <f t="shared" si="1"/>
        <v>0.5</v>
      </c>
      <c r="C49" s="51">
        <f t="shared" si="2"/>
        <v>0.5</v>
      </c>
      <c r="D49" s="51">
        <f t="shared" si="5"/>
        <v>1</v>
      </c>
      <c r="E49" s="81" t="s">
        <v>113</v>
      </c>
      <c r="F49" s="114">
        <f t="shared" si="3"/>
        <v>0.90344031237264977</v>
      </c>
      <c r="G49" s="51">
        <f t="shared" si="4"/>
        <v>9.6559687627350205E-2</v>
      </c>
      <c r="H49" s="38">
        <f t="shared" si="6"/>
        <v>1</v>
      </c>
    </row>
    <row r="51" spans="1:8" ht="60" customHeight="1" x14ac:dyDescent="0.25">
      <c r="A51" s="2"/>
      <c r="B51" s="48" t="s">
        <v>41</v>
      </c>
      <c r="C51" s="48"/>
      <c r="D51" s="159" t="s">
        <v>50</v>
      </c>
      <c r="E51" s="159"/>
    </row>
    <row r="52" spans="1:8" ht="45.75" thickBot="1" x14ac:dyDescent="0.3">
      <c r="A52" s="47"/>
      <c r="B52" s="46" t="s">
        <v>1</v>
      </c>
      <c r="C52" s="46" t="s">
        <v>2</v>
      </c>
      <c r="D52" s="45" t="s">
        <v>1</v>
      </c>
      <c r="E52" s="45" t="s">
        <v>2</v>
      </c>
    </row>
    <row r="53" spans="1:8" ht="15.75" thickTop="1" x14ac:dyDescent="0.25">
      <c r="A53" s="39" t="s">
        <v>4</v>
      </c>
      <c r="B53" s="41">
        <v>0.79500000000000004</v>
      </c>
      <c r="C53" s="42">
        <v>0.20499999999999999</v>
      </c>
      <c r="D53" s="49">
        <v>1.21</v>
      </c>
      <c r="E53" s="49">
        <v>0.15625700000000001</v>
      </c>
    </row>
    <row r="54" spans="1:8" x14ac:dyDescent="0.25">
      <c r="A54" s="40" t="s">
        <v>6</v>
      </c>
      <c r="B54" s="43">
        <v>0.51300000000000001</v>
      </c>
      <c r="C54" s="44">
        <v>0.48699999999999999</v>
      </c>
      <c r="D54" s="50">
        <v>1.3339669999999999</v>
      </c>
      <c r="E54" s="50">
        <v>0.14084199999999999</v>
      </c>
    </row>
    <row r="55" spans="1:8" x14ac:dyDescent="0.25">
      <c r="A55" s="40" t="s">
        <v>7</v>
      </c>
      <c r="B55" s="43">
        <v>0.84299999999999997</v>
      </c>
      <c r="C55" s="44">
        <v>0.157</v>
      </c>
      <c r="D55" s="50">
        <v>1.5763240000000001</v>
      </c>
      <c r="E55" s="50">
        <v>9.0619000000000005E-2</v>
      </c>
    </row>
    <row r="56" spans="1:8" x14ac:dyDescent="0.25">
      <c r="A56" s="113" t="s">
        <v>8</v>
      </c>
      <c r="B56" s="43">
        <v>0.48899999999999999</v>
      </c>
      <c r="C56" s="44">
        <v>0.51100000000000001</v>
      </c>
      <c r="D56" s="115">
        <v>8.2194950000000002</v>
      </c>
      <c r="E56" s="115">
        <v>3.4999210000000001</v>
      </c>
    </row>
    <row r="57" spans="1:8" x14ac:dyDescent="0.25">
      <c r="A57" s="81" t="s">
        <v>99</v>
      </c>
      <c r="B57" s="51">
        <v>0.70799999999999996</v>
      </c>
      <c r="C57" s="51">
        <v>0.29199999999999998</v>
      </c>
      <c r="D57" s="2">
        <v>1.3</v>
      </c>
      <c r="E57" s="2">
        <v>0.2</v>
      </c>
    </row>
    <row r="58" spans="1:8" x14ac:dyDescent="0.25">
      <c r="A58" s="81" t="s">
        <v>113</v>
      </c>
      <c r="B58" s="51">
        <v>0.90300000000000002</v>
      </c>
      <c r="C58" s="51">
        <v>9.7000000000000003E-2</v>
      </c>
      <c r="D58" s="2">
        <v>1.4</v>
      </c>
      <c r="E58" s="2">
        <v>0.1</v>
      </c>
    </row>
  </sheetData>
  <mergeCells count="5">
    <mergeCell ref="A34:A35"/>
    <mergeCell ref="B34:D34"/>
    <mergeCell ref="E34:G34"/>
    <mergeCell ref="H34:I34"/>
    <mergeCell ref="D51:E51"/>
  </mergeCells>
  <conditionalFormatting sqref="H36:H39">
    <cfRule type="iconSet" priority="22">
      <iconSet iconSet="3Arrows">
        <cfvo type="percent" val="0"/>
        <cfvo type="percent" val="33"/>
        <cfvo type="percent" val="67"/>
      </iconSet>
    </cfRule>
  </conditionalFormatting>
  <conditionalFormatting sqref="I36:I39">
    <cfRule type="iconSet" priority="21">
      <iconSet iconSet="3Arrows">
        <cfvo type="percent" val="0"/>
        <cfvo type="percent" val="33"/>
        <cfvo type="percent" val="67"/>
      </iconSet>
    </cfRule>
  </conditionalFormatting>
  <conditionalFormatting sqref="B53:B56">
    <cfRule type="iconSet" priority="14">
      <iconSet iconSet="3Arrows">
        <cfvo type="percent" val="0"/>
        <cfvo type="percent" val="33"/>
        <cfvo type="percent" val="67"/>
      </iconSet>
    </cfRule>
  </conditionalFormatting>
  <conditionalFormatting sqref="B53:C56">
    <cfRule type="iconSet" priority="13">
      <iconSet iconSet="3Arrows">
        <cfvo type="percent" val="0"/>
        <cfvo type="percent" val="33"/>
        <cfvo type="percent" val="67"/>
      </iconSet>
    </cfRule>
  </conditionalFormatting>
  <conditionalFormatting sqref="H36:I41">
    <cfRule type="iconSet" priority="12">
      <iconSet iconSet="3Arrows">
        <cfvo type="percent" val="0"/>
        <cfvo type="percent" val="33"/>
        <cfvo type="percent" val="67"/>
      </iconSet>
    </cfRule>
  </conditionalFormatting>
  <conditionalFormatting sqref="B53:C57">
    <cfRule type="colorScale" priority="10">
      <colorScale>
        <cfvo type="min"/>
        <cfvo type="percentile" val="50"/>
        <cfvo type="max"/>
        <color rgb="FFF8696B"/>
        <color rgb="FFFCFCFF"/>
        <color rgb="FF63BE7B"/>
      </colorScale>
    </cfRule>
    <cfRule type="iconSet" priority="11">
      <iconSet iconSet="3Arrows">
        <cfvo type="percent" val="0"/>
        <cfvo type="percent" val="33"/>
        <cfvo type="percent" val="67"/>
      </iconSet>
    </cfRule>
  </conditionalFormatting>
  <conditionalFormatting sqref="D53:E57">
    <cfRule type="iconSet" priority="8">
      <iconSet iconSet="3Arrows">
        <cfvo type="percent" val="0"/>
        <cfvo type="percent" val="33"/>
        <cfvo type="percent" val="67"/>
      </iconSet>
    </cfRule>
  </conditionalFormatting>
  <conditionalFormatting sqref="D53:E58">
    <cfRule type="iconSet" priority="7">
      <iconSet iconSet="3Arrows">
        <cfvo type="percent" val="0"/>
        <cfvo type="percent" val="33"/>
        <cfvo type="percent" val="67"/>
      </iconSet>
    </cfRule>
  </conditionalFormatting>
  <conditionalFormatting sqref="B53:C58">
    <cfRule type="colorScale" priority="5">
      <colorScale>
        <cfvo type="min"/>
        <cfvo type="percentile" val="50"/>
        <cfvo type="max"/>
        <color rgb="FFF8696B"/>
        <color rgb="FFFCFCFF"/>
        <color rgb="FF63BE7B"/>
      </colorScale>
    </cfRule>
    <cfRule type="iconSet" priority="6">
      <iconSet iconSet="3Arrows">
        <cfvo type="percent" val="0"/>
        <cfvo type="percent" val="33"/>
        <cfvo type="percent" val="67"/>
      </iconSet>
    </cfRule>
  </conditionalFormatting>
  <conditionalFormatting sqref="B44:C49">
    <cfRule type="colorScale" priority="3">
      <colorScale>
        <cfvo type="min"/>
        <cfvo type="percentile" val="50"/>
        <cfvo type="max"/>
        <color rgb="FFF8696B"/>
        <color rgb="FFFCFCFF"/>
        <color rgb="FF63BE7B"/>
      </colorScale>
    </cfRule>
    <cfRule type="iconSet" priority="4">
      <iconSet iconSet="3Arrows">
        <cfvo type="percent" val="0"/>
        <cfvo type="percent" val="33"/>
        <cfvo type="percent" val="67"/>
      </iconSet>
    </cfRule>
  </conditionalFormatting>
  <conditionalFormatting sqref="F44:G49">
    <cfRule type="colorScale" priority="1">
      <colorScale>
        <cfvo type="min"/>
        <cfvo type="percentile" val="50"/>
        <cfvo type="max"/>
        <color rgb="FFF8696B"/>
        <color rgb="FFFCFCFF"/>
        <color rgb="FF63BE7B"/>
      </colorScale>
    </cfRule>
    <cfRule type="iconSet" priority="2">
      <iconSet iconSet="3Arrows">
        <cfvo type="percent" val="0"/>
        <cfvo type="percent" val="33"/>
        <cfvo type="percent" val="67"/>
      </iconSet>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
  <sheetViews>
    <sheetView workbookViewId="0">
      <selection activeCell="L17" sqref="L17"/>
    </sheetView>
  </sheetViews>
  <sheetFormatPr defaultRowHeight="15" x14ac:dyDescent="0.25"/>
  <cols>
    <col min="2" max="2" width="10.85546875" customWidth="1"/>
    <col min="3" max="3" width="10.5703125" customWidth="1"/>
    <col min="5" max="6" width="9.85546875" bestFit="1" customWidth="1"/>
    <col min="7" max="7" width="19.42578125" customWidth="1"/>
  </cols>
  <sheetData>
    <row r="1" spans="1:7" x14ac:dyDescent="0.25">
      <c r="A1" s="1" t="s">
        <v>86</v>
      </c>
    </row>
    <row r="3" spans="1:7" x14ac:dyDescent="0.25">
      <c r="A3" s="154"/>
      <c r="B3" s="151" t="s">
        <v>0</v>
      </c>
      <c r="C3" s="152"/>
      <c r="D3" s="153"/>
      <c r="E3" s="151" t="s">
        <v>42</v>
      </c>
      <c r="F3" s="152"/>
      <c r="G3" s="153"/>
    </row>
    <row r="4" spans="1:7" ht="45.75" thickBot="1" x14ac:dyDescent="0.3">
      <c r="A4" s="155"/>
      <c r="B4" s="12" t="s">
        <v>1</v>
      </c>
      <c r="C4" s="12" t="s">
        <v>2</v>
      </c>
      <c r="D4" s="13" t="s">
        <v>3</v>
      </c>
      <c r="E4" s="12" t="s">
        <v>1</v>
      </c>
      <c r="F4" s="12" t="s">
        <v>2</v>
      </c>
      <c r="G4" s="13" t="s">
        <v>3</v>
      </c>
    </row>
    <row r="5" spans="1:7" ht="15.75" thickTop="1" x14ac:dyDescent="0.25">
      <c r="A5" s="6" t="s">
        <v>4</v>
      </c>
      <c r="B5" s="7">
        <v>1</v>
      </c>
      <c r="C5" s="7">
        <v>2</v>
      </c>
      <c r="D5" s="8">
        <f>SUM(B5:C5)</f>
        <v>3</v>
      </c>
      <c r="E5" s="9">
        <v>1210000</v>
      </c>
      <c r="F5" s="7">
        <v>312514</v>
      </c>
      <c r="G5" s="10">
        <f>SUM(E5:F5)</f>
        <v>1522514</v>
      </c>
    </row>
    <row r="6" spans="1:7" x14ac:dyDescent="0.25">
      <c r="A6" s="2" t="s">
        <v>6</v>
      </c>
      <c r="B6" s="3">
        <v>1</v>
      </c>
      <c r="C6" s="3">
        <v>7</v>
      </c>
      <c r="D6" s="3">
        <f>SUM(B6:C6)</f>
        <v>8</v>
      </c>
      <c r="E6" s="4">
        <v>1802560</v>
      </c>
      <c r="F6" s="4">
        <v>969564</v>
      </c>
      <c r="G6" s="4">
        <f>SUM(E6:F6)</f>
        <v>2772124</v>
      </c>
    </row>
    <row r="7" spans="1:7" x14ac:dyDescent="0.25">
      <c r="A7" s="2" t="s">
        <v>7</v>
      </c>
      <c r="B7" s="3">
        <v>3</v>
      </c>
      <c r="C7" s="3">
        <v>7</v>
      </c>
      <c r="D7" s="3">
        <f>SUM(B7:C7)</f>
        <v>10</v>
      </c>
      <c r="E7" s="4">
        <v>5197400</v>
      </c>
      <c r="F7" s="4">
        <v>975300</v>
      </c>
      <c r="G7" s="4">
        <f>SUM(E7:F7)</f>
        <v>6172700</v>
      </c>
    </row>
    <row r="8" spans="1:7" x14ac:dyDescent="0.25">
      <c r="A8" s="2" t="s">
        <v>8</v>
      </c>
      <c r="B8" s="2">
        <v>8</v>
      </c>
      <c r="C8" s="2">
        <v>20</v>
      </c>
      <c r="D8" s="2">
        <f>SUM(B8:C8)</f>
        <v>28</v>
      </c>
      <c r="E8" s="5">
        <v>76103509</v>
      </c>
      <c r="F8" s="5">
        <v>78387401</v>
      </c>
      <c r="G8" s="5">
        <f>SUM(E8:F8)</f>
        <v>154490910</v>
      </c>
    </row>
    <row r="9" spans="1:7" x14ac:dyDescent="0.25">
      <c r="A9" s="81" t="s">
        <v>99</v>
      </c>
      <c r="B9" s="2">
        <v>6</v>
      </c>
      <c r="C9" s="2">
        <v>10</v>
      </c>
      <c r="D9" s="2">
        <f>C9+B9</f>
        <v>16</v>
      </c>
      <c r="E9" s="5">
        <v>10404250</v>
      </c>
      <c r="F9" s="5">
        <v>1402540</v>
      </c>
      <c r="G9" s="5">
        <f>F9+E9</f>
        <v>11806790</v>
      </c>
    </row>
    <row r="10" spans="1:7" x14ac:dyDescent="0.25">
      <c r="A10" s="81" t="s">
        <v>113</v>
      </c>
      <c r="B10" s="2">
        <f>12+3</f>
        <v>15</v>
      </c>
      <c r="C10" s="2">
        <f>1+4+1+2</f>
        <v>8</v>
      </c>
      <c r="D10" s="2">
        <f>B10+C10</f>
        <v>23</v>
      </c>
      <c r="E10" s="5">
        <f>21085845+3636914</f>
        <v>24722759</v>
      </c>
      <c r="F10" s="5">
        <f>18076+965622+9810+414583</f>
        <v>1408091</v>
      </c>
      <c r="G10" s="5">
        <f>E10+F10</f>
        <v>26130850</v>
      </c>
    </row>
  </sheetData>
  <mergeCells count="3">
    <mergeCell ref="A3:A4"/>
    <mergeCell ref="B3:D3"/>
    <mergeCell ref="E3: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5:I62"/>
  <sheetViews>
    <sheetView topLeftCell="A28" workbookViewId="0">
      <selection activeCell="N58" sqref="N58"/>
    </sheetView>
  </sheetViews>
  <sheetFormatPr defaultRowHeight="15" x14ac:dyDescent="0.25"/>
  <cols>
    <col min="4" max="4" width="16.7109375" bestFit="1" customWidth="1"/>
    <col min="5" max="5" width="15.85546875" customWidth="1"/>
    <col min="6" max="6" width="12.140625" bestFit="1" customWidth="1"/>
    <col min="7" max="7" width="10.85546875" bestFit="1" customWidth="1"/>
    <col min="8" max="8" width="12.7109375" customWidth="1"/>
    <col min="9" max="9" width="14.7109375" bestFit="1" customWidth="1"/>
    <col min="10" max="10" width="10.85546875" bestFit="1" customWidth="1"/>
  </cols>
  <sheetData>
    <row r="35" spans="1:9" x14ac:dyDescent="0.25">
      <c r="A35" s="2"/>
      <c r="B35" s="159" t="s">
        <v>0</v>
      </c>
      <c r="C35" s="159"/>
      <c r="D35" s="159"/>
      <c r="E35" s="160" t="s">
        <v>41</v>
      </c>
      <c r="F35" s="160"/>
      <c r="G35" s="160"/>
      <c r="H35" s="151" t="s">
        <v>53</v>
      </c>
      <c r="I35" s="153"/>
    </row>
    <row r="36" spans="1:9" ht="30.75" thickBot="1" x14ac:dyDescent="0.3">
      <c r="A36" s="11"/>
      <c r="B36" s="58" t="s">
        <v>55</v>
      </c>
      <c r="C36" s="58" t="s">
        <v>56</v>
      </c>
      <c r="D36" s="13" t="s">
        <v>3</v>
      </c>
      <c r="E36" s="11" t="s">
        <v>51</v>
      </c>
      <c r="F36" s="11" t="s">
        <v>52</v>
      </c>
      <c r="G36" s="13" t="s">
        <v>3</v>
      </c>
      <c r="H36" s="57" t="s">
        <v>51</v>
      </c>
      <c r="I36" s="57" t="s">
        <v>52</v>
      </c>
    </row>
    <row r="37" spans="1:9" ht="15.75" thickTop="1" x14ac:dyDescent="0.25">
      <c r="A37" s="6" t="s">
        <v>4</v>
      </c>
      <c r="B37" s="117">
        <v>3</v>
      </c>
      <c r="C37" s="119">
        <v>0</v>
      </c>
      <c r="D37" s="8">
        <f>B37+C37</f>
        <v>3</v>
      </c>
      <c r="E37" s="56">
        <v>1522514</v>
      </c>
      <c r="F37" s="121">
        <v>0</v>
      </c>
      <c r="G37" s="10">
        <f>E37+F37</f>
        <v>1522514</v>
      </c>
      <c r="H37" s="56">
        <f t="shared" ref="H37:H42" si="0">E37/B37</f>
        <v>507504.66666666669</v>
      </c>
      <c r="I37" s="18">
        <v>0</v>
      </c>
    </row>
    <row r="38" spans="1:9" x14ac:dyDescent="0.25">
      <c r="A38" s="2" t="s">
        <v>6</v>
      </c>
      <c r="B38" s="118">
        <v>8</v>
      </c>
      <c r="C38" s="120">
        <v>12</v>
      </c>
      <c r="D38" s="3">
        <f t="shared" ref="D38:D42" si="1">B38+C38</f>
        <v>20</v>
      </c>
      <c r="E38" s="55">
        <v>2772124</v>
      </c>
      <c r="F38" s="122">
        <v>2430960</v>
      </c>
      <c r="G38" s="4">
        <f t="shared" ref="G38:G42" si="2">E38+F38</f>
        <v>5203084</v>
      </c>
      <c r="H38" s="55">
        <f t="shared" si="0"/>
        <v>346515.5</v>
      </c>
      <c r="I38" s="5">
        <f>F38/C38</f>
        <v>202580</v>
      </c>
    </row>
    <row r="39" spans="1:9" x14ac:dyDescent="0.25">
      <c r="A39" s="2" t="s">
        <v>7</v>
      </c>
      <c r="B39" s="118">
        <v>10</v>
      </c>
      <c r="C39" s="120">
        <v>7</v>
      </c>
      <c r="D39" s="3">
        <f t="shared" si="1"/>
        <v>17</v>
      </c>
      <c r="E39" s="55">
        <v>6172700</v>
      </c>
      <c r="F39" s="122">
        <v>1310648</v>
      </c>
      <c r="G39" s="4">
        <f t="shared" si="2"/>
        <v>7483348</v>
      </c>
      <c r="H39" s="55">
        <f t="shared" si="0"/>
        <v>617270</v>
      </c>
      <c r="I39" s="5">
        <f>F39/C39</f>
        <v>187235.42857142858</v>
      </c>
    </row>
    <row r="40" spans="1:9" x14ac:dyDescent="0.25">
      <c r="A40" s="2" t="s">
        <v>8</v>
      </c>
      <c r="B40" s="118">
        <v>28</v>
      </c>
      <c r="C40" s="120">
        <v>10</v>
      </c>
      <c r="D40" s="3">
        <f t="shared" si="1"/>
        <v>38</v>
      </c>
      <c r="E40" s="55">
        <v>154490910</v>
      </c>
      <c r="F40" s="122">
        <v>30421394</v>
      </c>
      <c r="G40" s="4">
        <f t="shared" si="2"/>
        <v>184912304</v>
      </c>
      <c r="H40" s="55">
        <f t="shared" si="0"/>
        <v>5517532.5</v>
      </c>
      <c r="I40" s="5">
        <f>F40/C40</f>
        <v>3042139.4</v>
      </c>
    </row>
    <row r="41" spans="1:9" x14ac:dyDescent="0.25">
      <c r="A41" s="81" t="s">
        <v>99</v>
      </c>
      <c r="B41" s="118">
        <v>16</v>
      </c>
      <c r="C41" s="120">
        <v>11</v>
      </c>
      <c r="D41" s="2">
        <f t="shared" si="1"/>
        <v>27</v>
      </c>
      <c r="E41" s="55">
        <v>11806790</v>
      </c>
      <c r="F41" s="122">
        <v>3499583</v>
      </c>
      <c r="G41" s="5">
        <f t="shared" si="2"/>
        <v>15306373</v>
      </c>
      <c r="H41" s="5">
        <f t="shared" si="0"/>
        <v>737924.375</v>
      </c>
      <c r="I41" s="5">
        <f>F41/C41</f>
        <v>318143.90909090912</v>
      </c>
    </row>
    <row r="42" spans="1:9" x14ac:dyDescent="0.25">
      <c r="A42" s="81" t="s">
        <v>113</v>
      </c>
      <c r="B42" s="118">
        <v>23</v>
      </c>
      <c r="C42" s="120">
        <v>13</v>
      </c>
      <c r="D42" s="2">
        <f t="shared" si="1"/>
        <v>36</v>
      </c>
      <c r="E42" s="55">
        <v>26130850</v>
      </c>
      <c r="F42" s="122">
        <v>2488557</v>
      </c>
      <c r="G42" s="5">
        <f t="shared" si="2"/>
        <v>28619407</v>
      </c>
      <c r="H42" s="5">
        <f t="shared" si="0"/>
        <v>1136123.9130434783</v>
      </c>
      <c r="I42" s="5">
        <f>F42/C42</f>
        <v>191427.46153846153</v>
      </c>
    </row>
    <row r="45" spans="1:9" ht="15" customHeight="1" x14ac:dyDescent="0.25">
      <c r="A45" s="2"/>
      <c r="B45" s="159" t="s">
        <v>0</v>
      </c>
      <c r="C45" s="159"/>
      <c r="D45" s="159"/>
      <c r="E45" s="160" t="s">
        <v>41</v>
      </c>
      <c r="F45" s="160"/>
      <c r="G45" s="160"/>
    </row>
    <row r="46" spans="1:9" ht="30.75" thickBot="1" x14ac:dyDescent="0.3">
      <c r="A46" s="11"/>
      <c r="B46" s="58" t="s">
        <v>55</v>
      </c>
      <c r="C46" s="58" t="s">
        <v>56</v>
      </c>
      <c r="D46" s="13" t="s">
        <v>3</v>
      </c>
      <c r="E46" s="11" t="s">
        <v>51</v>
      </c>
      <c r="F46" s="11" t="s">
        <v>52</v>
      </c>
      <c r="G46" s="13" t="s">
        <v>3</v>
      </c>
    </row>
    <row r="47" spans="1:9" ht="15.75" thickTop="1" x14ac:dyDescent="0.25">
      <c r="A47" s="6" t="s">
        <v>4</v>
      </c>
      <c r="B47" s="53">
        <f t="shared" ref="B47:B52" si="3">B37/D37</f>
        <v>1</v>
      </c>
      <c r="C47" s="123">
        <f t="shared" ref="C47:C52" si="4">C37/D37</f>
        <v>0</v>
      </c>
      <c r="D47" s="52">
        <f>B47+C47</f>
        <v>1</v>
      </c>
      <c r="E47" s="53">
        <f t="shared" ref="E47:E52" si="5">E37/G37</f>
        <v>1</v>
      </c>
      <c r="F47" s="123">
        <f t="shared" ref="F47:F52" si="6">F37/G37</f>
        <v>0</v>
      </c>
      <c r="G47" s="52">
        <f>E47+F47</f>
        <v>1</v>
      </c>
    </row>
    <row r="48" spans="1:9" x14ac:dyDescent="0.25">
      <c r="A48" s="2" t="s">
        <v>6</v>
      </c>
      <c r="B48" s="54">
        <f t="shared" si="3"/>
        <v>0.4</v>
      </c>
      <c r="C48" s="124">
        <f t="shared" si="4"/>
        <v>0.6</v>
      </c>
      <c r="D48" s="51">
        <f t="shared" ref="D48:D52" si="7">B48+C48</f>
        <v>1</v>
      </c>
      <c r="E48" s="54">
        <f t="shared" si="5"/>
        <v>0.53278478686871089</v>
      </c>
      <c r="F48" s="124">
        <f t="shared" si="6"/>
        <v>0.46721521313128905</v>
      </c>
      <c r="G48" s="51">
        <f t="shared" ref="G48:G52" si="8">E48+F48</f>
        <v>1</v>
      </c>
    </row>
    <row r="49" spans="1:7" x14ac:dyDescent="0.25">
      <c r="A49" s="2" t="s">
        <v>7</v>
      </c>
      <c r="B49" s="54">
        <f t="shared" si="3"/>
        <v>0.58823529411764708</v>
      </c>
      <c r="C49" s="124">
        <f t="shared" si="4"/>
        <v>0.41176470588235292</v>
      </c>
      <c r="D49" s="51">
        <f t="shared" si="7"/>
        <v>1</v>
      </c>
      <c r="E49" s="54">
        <f t="shared" si="5"/>
        <v>0.82485807154765489</v>
      </c>
      <c r="F49" s="124">
        <f t="shared" si="6"/>
        <v>0.17514192845234514</v>
      </c>
      <c r="G49" s="51">
        <f t="shared" si="8"/>
        <v>1</v>
      </c>
    </row>
    <row r="50" spans="1:7" x14ac:dyDescent="0.25">
      <c r="A50" s="2" t="s">
        <v>8</v>
      </c>
      <c r="B50" s="54">
        <f t="shared" si="3"/>
        <v>0.73684210526315785</v>
      </c>
      <c r="C50" s="124">
        <f t="shared" si="4"/>
        <v>0.26315789473684209</v>
      </c>
      <c r="D50" s="51">
        <f t="shared" si="7"/>
        <v>1</v>
      </c>
      <c r="E50" s="54">
        <f t="shared" si="5"/>
        <v>0.83548204558632289</v>
      </c>
      <c r="F50" s="124">
        <f t="shared" si="6"/>
        <v>0.16451795441367709</v>
      </c>
      <c r="G50" s="51">
        <f t="shared" si="8"/>
        <v>1</v>
      </c>
    </row>
    <row r="51" spans="1:7" x14ac:dyDescent="0.25">
      <c r="A51" s="81" t="s">
        <v>99</v>
      </c>
      <c r="B51" s="54">
        <f t="shared" si="3"/>
        <v>0.59259259259259256</v>
      </c>
      <c r="C51" s="124">
        <f t="shared" si="4"/>
        <v>0.40740740740740738</v>
      </c>
      <c r="D51" s="51">
        <f t="shared" si="7"/>
        <v>1</v>
      </c>
      <c r="E51" s="54">
        <f t="shared" si="5"/>
        <v>0.77136431994699206</v>
      </c>
      <c r="F51" s="124">
        <f t="shared" si="6"/>
        <v>0.22863568005300799</v>
      </c>
      <c r="G51" s="51">
        <f t="shared" si="8"/>
        <v>1</v>
      </c>
    </row>
    <row r="52" spans="1:7" x14ac:dyDescent="0.25">
      <c r="A52" s="81" t="s">
        <v>113</v>
      </c>
      <c r="B52" s="54">
        <f t="shared" si="3"/>
        <v>0.63888888888888884</v>
      </c>
      <c r="C52" s="124">
        <f t="shared" si="4"/>
        <v>0.3611111111111111</v>
      </c>
      <c r="D52" s="51">
        <f t="shared" si="7"/>
        <v>1</v>
      </c>
      <c r="E52" s="54">
        <f t="shared" si="5"/>
        <v>0.91304652119451668</v>
      </c>
      <c r="F52" s="124">
        <f t="shared" si="6"/>
        <v>8.6953478805483292E-2</v>
      </c>
      <c r="G52" s="51">
        <f t="shared" si="8"/>
        <v>1</v>
      </c>
    </row>
    <row r="55" spans="1:7" ht="46.5" customHeight="1" x14ac:dyDescent="0.25">
      <c r="A55" s="2"/>
      <c r="B55" s="159" t="s">
        <v>41</v>
      </c>
      <c r="C55" s="159"/>
      <c r="D55" s="151" t="s">
        <v>53</v>
      </c>
      <c r="E55" s="153"/>
    </row>
    <row r="56" spans="1:7" ht="30.75" thickBot="1" x14ac:dyDescent="0.3">
      <c r="A56" s="11"/>
      <c r="B56" s="58" t="s">
        <v>51</v>
      </c>
      <c r="C56" s="58" t="s">
        <v>52</v>
      </c>
      <c r="D56" s="57" t="s">
        <v>51</v>
      </c>
      <c r="E56" s="57" t="s">
        <v>52</v>
      </c>
    </row>
    <row r="57" spans="1:7" ht="15.75" thickTop="1" x14ac:dyDescent="0.25">
      <c r="A57" s="6" t="s">
        <v>4</v>
      </c>
      <c r="B57" s="53">
        <f>B47/D47</f>
        <v>1</v>
      </c>
      <c r="C57" s="123">
        <f>C47/D47</f>
        <v>0</v>
      </c>
      <c r="D57" s="56">
        <v>507505</v>
      </c>
      <c r="E57" s="121">
        <v>0</v>
      </c>
    </row>
    <row r="58" spans="1:7" x14ac:dyDescent="0.25">
      <c r="A58" s="2" t="s">
        <v>6</v>
      </c>
      <c r="B58" s="54">
        <f>B48/D48</f>
        <v>0.4</v>
      </c>
      <c r="C58" s="124">
        <f>C48/D48</f>
        <v>0.6</v>
      </c>
      <c r="D58" s="55">
        <v>346516</v>
      </c>
      <c r="E58" s="122">
        <v>202580</v>
      </c>
    </row>
    <row r="59" spans="1:7" x14ac:dyDescent="0.25">
      <c r="A59" s="2" t="s">
        <v>7</v>
      </c>
      <c r="B59" s="54">
        <f>B49/D49</f>
        <v>0.58823529411764708</v>
      </c>
      <c r="C59" s="124">
        <f>C49/D49</f>
        <v>0.41176470588235292</v>
      </c>
      <c r="D59" s="55">
        <v>617270</v>
      </c>
      <c r="E59" s="122">
        <v>187235</v>
      </c>
    </row>
    <row r="60" spans="1:7" x14ac:dyDescent="0.25">
      <c r="A60" s="2" t="s">
        <v>8</v>
      </c>
      <c r="B60" s="54">
        <f>B50/D50</f>
        <v>0.73684210526315785</v>
      </c>
      <c r="C60" s="124">
        <f>C50/D50</f>
        <v>0.26315789473684209</v>
      </c>
      <c r="D60" s="55">
        <v>5517533</v>
      </c>
      <c r="E60" s="122">
        <v>3042139</v>
      </c>
    </row>
    <row r="61" spans="1:7" x14ac:dyDescent="0.25">
      <c r="A61" s="81" t="s">
        <v>99</v>
      </c>
      <c r="B61" s="54">
        <v>0.59299999999999997</v>
      </c>
      <c r="C61" s="124">
        <v>0.40699999999999997</v>
      </c>
      <c r="D61" s="55">
        <v>737924</v>
      </c>
      <c r="E61" s="122">
        <v>318144</v>
      </c>
    </row>
    <row r="62" spans="1:7" x14ac:dyDescent="0.25">
      <c r="A62" s="81" t="s">
        <v>113</v>
      </c>
      <c r="B62" s="54">
        <v>0.63900000000000001</v>
      </c>
      <c r="C62" s="124">
        <v>0.36099999999999999</v>
      </c>
      <c r="D62" s="55">
        <v>1136124</v>
      </c>
      <c r="E62" s="122">
        <v>191427</v>
      </c>
    </row>
  </sheetData>
  <mergeCells count="7">
    <mergeCell ref="H35:I35"/>
    <mergeCell ref="B55:C55"/>
    <mergeCell ref="D55:E55"/>
    <mergeCell ref="B45:D45"/>
    <mergeCell ref="E45:G45"/>
    <mergeCell ref="B35:D35"/>
    <mergeCell ref="E35:G35"/>
  </mergeCells>
  <conditionalFormatting sqref="H37:I40">
    <cfRule type="iconSet" priority="14">
      <iconSet iconSet="3Arrows">
        <cfvo type="percent" val="0"/>
        <cfvo type="percent" val="33"/>
        <cfvo type="percent" val="67"/>
      </iconSet>
    </cfRule>
  </conditionalFormatting>
  <conditionalFormatting sqref="B57:C60">
    <cfRule type="iconSet" priority="13">
      <iconSet iconSet="3Arrows">
        <cfvo type="percent" val="0"/>
        <cfvo type="percent" val="33"/>
        <cfvo type="percent" val="67"/>
      </iconSet>
    </cfRule>
  </conditionalFormatting>
  <conditionalFormatting sqref="D57:E60">
    <cfRule type="iconSet" priority="12">
      <iconSet iconSet="3Arrows">
        <cfvo type="percent" val="0"/>
        <cfvo type="percent" val="33"/>
        <cfvo type="percent" val="67"/>
      </iconSet>
    </cfRule>
  </conditionalFormatting>
  <conditionalFormatting sqref="H37:I42">
    <cfRule type="iconSet" priority="10">
      <iconSet iconSet="3Arrows">
        <cfvo type="percent" val="0"/>
        <cfvo type="percent" val="33"/>
        <cfvo type="percent" val="67"/>
      </iconSet>
    </cfRule>
    <cfRule type="colorScale" priority="11">
      <colorScale>
        <cfvo type="min"/>
        <cfvo type="percentile" val="50"/>
        <cfvo type="max"/>
        <color rgb="FFF8696B"/>
        <color rgb="FFFCFCFF"/>
        <color rgb="FF63BE7B"/>
      </colorScale>
    </cfRule>
  </conditionalFormatting>
  <conditionalFormatting sqref="E47:F52">
    <cfRule type="iconSet" priority="4">
      <iconSet iconSet="3Arrows">
        <cfvo type="percent" val="0"/>
        <cfvo type="percent" val="33"/>
        <cfvo type="percent" val="67"/>
      </iconSet>
    </cfRule>
  </conditionalFormatting>
  <conditionalFormatting sqref="B47:C52">
    <cfRule type="iconSet" priority="3">
      <iconSet iconSet="3Arrows">
        <cfvo type="percent" val="0"/>
        <cfvo type="percent" val="33"/>
        <cfvo type="percent" val="67"/>
      </iconSet>
    </cfRule>
  </conditionalFormatting>
  <conditionalFormatting sqref="B57:C62">
    <cfRule type="iconSet" priority="2">
      <iconSet iconSet="3Arrows">
        <cfvo type="percent" val="0"/>
        <cfvo type="percent" val="33"/>
        <cfvo type="percent" val="67"/>
      </iconSet>
    </cfRule>
  </conditionalFormatting>
  <conditionalFormatting sqref="D57:E62">
    <cfRule type="iconSet" priority="1">
      <iconSet iconSet="3Arrows">
        <cfvo type="percent" val="0"/>
        <cfvo type="percent" val="33"/>
        <cfvo type="percent" val="67"/>
      </iconSet>
    </cfRule>
  </conditionalFormatting>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23"/>
  <sheetViews>
    <sheetView workbookViewId="0">
      <selection activeCell="W27" sqref="W27"/>
    </sheetView>
  </sheetViews>
  <sheetFormatPr defaultRowHeight="15" x14ac:dyDescent="0.25"/>
  <cols>
    <col min="1" max="1" width="9.42578125" customWidth="1"/>
    <col min="2" max="2" width="13.5703125" customWidth="1"/>
    <col min="3" max="3" width="2.7109375" customWidth="1"/>
    <col min="4" max="4" width="9.5703125" customWidth="1"/>
    <col min="5" max="5" width="2.7109375" customWidth="1"/>
    <col min="6" max="6" width="9.140625" customWidth="1"/>
    <col min="7" max="7" width="2.7109375" customWidth="1"/>
    <col min="8" max="8" width="9.140625" customWidth="1"/>
    <col min="9" max="9" width="2.7109375" customWidth="1"/>
    <col min="10" max="10" width="8.28515625" customWidth="1"/>
    <col min="11" max="11" width="2.5703125" customWidth="1"/>
    <col min="12" max="12" width="9.140625" customWidth="1"/>
    <col min="13" max="13" width="2.7109375" customWidth="1"/>
    <col min="14" max="14" width="9.140625" customWidth="1"/>
    <col min="15" max="15" width="3.7109375" bestFit="1" customWidth="1"/>
    <col min="16" max="16" width="9.140625" customWidth="1"/>
    <col min="17" max="17" width="2.42578125" customWidth="1"/>
    <col min="18" max="18" width="9.140625" customWidth="1"/>
    <col min="19" max="19" width="3.7109375" bestFit="1" customWidth="1"/>
    <col min="20" max="20" width="9.140625" customWidth="1"/>
    <col min="21" max="21" width="2.7109375" customWidth="1"/>
    <col min="22" max="22" width="9.140625" customWidth="1"/>
    <col min="23" max="23" width="2.5703125" customWidth="1"/>
    <col min="24" max="24" width="9.42578125" customWidth="1"/>
    <col min="25" max="25" width="2.42578125" customWidth="1"/>
    <col min="26" max="26" width="10.42578125" bestFit="1" customWidth="1"/>
    <col min="27" max="27" width="3.7109375" bestFit="1" customWidth="1"/>
    <col min="28" max="28" width="10.42578125" customWidth="1"/>
    <col min="29" max="29" width="2.7109375" customWidth="1"/>
    <col min="30" max="30" width="9.85546875" customWidth="1"/>
    <col min="31" max="31" width="2.7109375" customWidth="1"/>
    <col min="32" max="32" width="10.140625" customWidth="1"/>
    <col min="33" max="33" width="3.7109375" bestFit="1" customWidth="1"/>
    <col min="34" max="34" width="10.28515625" customWidth="1"/>
  </cols>
  <sheetData>
    <row r="1" spans="1:34" x14ac:dyDescent="0.25">
      <c r="A1" s="1" t="s">
        <v>28</v>
      </c>
    </row>
    <row r="3" spans="1:34" x14ac:dyDescent="0.25">
      <c r="A3" s="154" t="s">
        <v>40</v>
      </c>
      <c r="B3" s="173" t="s">
        <v>39</v>
      </c>
      <c r="C3" s="165" t="s">
        <v>29</v>
      </c>
      <c r="D3" s="166"/>
      <c r="E3" s="167" t="s">
        <v>35</v>
      </c>
      <c r="F3" s="168"/>
      <c r="G3" s="168"/>
      <c r="H3" s="168"/>
      <c r="I3" s="168"/>
      <c r="J3" s="168"/>
      <c r="K3" s="168"/>
      <c r="L3" s="168"/>
      <c r="M3" s="168"/>
      <c r="N3" s="168"/>
      <c r="O3" s="168"/>
      <c r="P3" s="168"/>
      <c r="Q3" s="168"/>
      <c r="R3" s="168"/>
      <c r="S3" s="168"/>
      <c r="T3" s="168"/>
      <c r="U3" s="168"/>
      <c r="V3" s="168"/>
      <c r="W3" s="168"/>
      <c r="X3" s="169"/>
      <c r="Y3" s="170" t="s">
        <v>36</v>
      </c>
      <c r="Z3" s="170"/>
      <c r="AA3" s="170"/>
      <c r="AB3" s="170"/>
      <c r="AC3" s="170"/>
      <c r="AD3" s="170"/>
      <c r="AE3" s="170"/>
      <c r="AF3" s="171"/>
      <c r="AG3" s="161" t="s">
        <v>3</v>
      </c>
      <c r="AH3" s="162"/>
    </row>
    <row r="4" spans="1:34" x14ac:dyDescent="0.25">
      <c r="A4" s="176"/>
      <c r="B4" s="174"/>
      <c r="C4" s="151" t="s">
        <v>29</v>
      </c>
      <c r="D4" s="153"/>
      <c r="E4" s="151" t="s">
        <v>5</v>
      </c>
      <c r="F4" s="153"/>
      <c r="G4" s="151" t="s">
        <v>31</v>
      </c>
      <c r="H4" s="153"/>
      <c r="I4" s="151" t="s">
        <v>32</v>
      </c>
      <c r="J4" s="153"/>
      <c r="K4" s="151" t="s">
        <v>38</v>
      </c>
      <c r="L4" s="153"/>
      <c r="M4" s="160" t="s">
        <v>100</v>
      </c>
      <c r="N4" s="160"/>
      <c r="O4" s="151" t="s">
        <v>117</v>
      </c>
      <c r="P4" s="153"/>
      <c r="Q4" s="160" t="s">
        <v>101</v>
      </c>
      <c r="R4" s="160"/>
      <c r="S4" s="151" t="s">
        <v>116</v>
      </c>
      <c r="T4" s="153"/>
      <c r="U4" s="160" t="s">
        <v>102</v>
      </c>
      <c r="V4" s="160"/>
      <c r="W4" s="151" t="s">
        <v>43</v>
      </c>
      <c r="X4" s="153"/>
      <c r="Y4" s="160" t="s">
        <v>33</v>
      </c>
      <c r="Z4" s="160"/>
      <c r="AA4" s="151" t="s">
        <v>118</v>
      </c>
      <c r="AB4" s="153"/>
      <c r="AC4" s="160" t="s">
        <v>44</v>
      </c>
      <c r="AD4" s="160"/>
      <c r="AE4" s="172" t="s">
        <v>45</v>
      </c>
      <c r="AF4" s="172"/>
      <c r="AG4" s="163"/>
      <c r="AH4" s="164"/>
    </row>
    <row r="5" spans="1:34" ht="93" customHeight="1" thickBot="1" x14ac:dyDescent="0.3">
      <c r="A5" s="177"/>
      <c r="B5" s="175"/>
      <c r="C5" s="59" t="s">
        <v>30</v>
      </c>
      <c r="D5" s="15" t="s">
        <v>57</v>
      </c>
      <c r="E5" s="59" t="s">
        <v>30</v>
      </c>
      <c r="F5" s="15" t="s">
        <v>57</v>
      </c>
      <c r="G5" s="59" t="s">
        <v>30</v>
      </c>
      <c r="H5" s="15" t="s">
        <v>57</v>
      </c>
      <c r="I5" s="59" t="s">
        <v>30</v>
      </c>
      <c r="J5" s="15" t="s">
        <v>57</v>
      </c>
      <c r="K5" s="59" t="s">
        <v>30</v>
      </c>
      <c r="L5" s="15" t="s">
        <v>57</v>
      </c>
      <c r="M5" s="59" t="s">
        <v>30</v>
      </c>
      <c r="N5" s="15" t="s">
        <v>57</v>
      </c>
      <c r="O5" s="59" t="s">
        <v>30</v>
      </c>
      <c r="P5" s="15" t="s">
        <v>57</v>
      </c>
      <c r="Q5" s="59" t="s">
        <v>30</v>
      </c>
      <c r="R5" s="15" t="s">
        <v>57</v>
      </c>
      <c r="S5" s="59" t="s">
        <v>30</v>
      </c>
      <c r="T5" s="15" t="s">
        <v>57</v>
      </c>
      <c r="U5" s="59" t="s">
        <v>30</v>
      </c>
      <c r="V5" s="15" t="s">
        <v>57</v>
      </c>
      <c r="W5" s="59" t="s">
        <v>30</v>
      </c>
      <c r="X5" s="15" t="s">
        <v>57</v>
      </c>
      <c r="Y5" s="59" t="s">
        <v>30</v>
      </c>
      <c r="Z5" s="15" t="s">
        <v>57</v>
      </c>
      <c r="AA5" s="59" t="s">
        <v>30</v>
      </c>
      <c r="AB5" s="15" t="s">
        <v>57</v>
      </c>
      <c r="AC5" s="59" t="s">
        <v>30</v>
      </c>
      <c r="AD5" s="15" t="s">
        <v>57</v>
      </c>
      <c r="AE5" s="59" t="s">
        <v>30</v>
      </c>
      <c r="AF5" s="15" t="s">
        <v>57</v>
      </c>
      <c r="AG5" s="60" t="s">
        <v>30</v>
      </c>
      <c r="AH5" s="15" t="s">
        <v>41</v>
      </c>
    </row>
    <row r="6" spans="1:34" x14ac:dyDescent="0.25">
      <c r="A6" s="178" t="s">
        <v>4</v>
      </c>
      <c r="B6" s="6" t="s">
        <v>34</v>
      </c>
      <c r="C6" s="17"/>
      <c r="D6" s="17"/>
      <c r="E6" s="17"/>
      <c r="F6" s="17"/>
      <c r="G6" s="18"/>
      <c r="H6" s="18"/>
      <c r="I6" s="18"/>
      <c r="J6" s="18"/>
      <c r="K6" s="18"/>
      <c r="L6" s="18"/>
      <c r="M6" s="18"/>
      <c r="N6" s="18"/>
      <c r="O6" s="18"/>
      <c r="P6" s="18"/>
      <c r="Q6" s="18"/>
      <c r="R6" s="18"/>
      <c r="S6" s="18"/>
      <c r="T6" s="18"/>
      <c r="U6" s="18"/>
      <c r="V6" s="18"/>
      <c r="W6" s="18"/>
      <c r="X6" s="18"/>
      <c r="Y6" s="18"/>
      <c r="Z6" s="19"/>
      <c r="AA6" s="19"/>
      <c r="AB6" s="19"/>
      <c r="AC6" s="61"/>
      <c r="AD6" s="33"/>
      <c r="AE6" s="61"/>
      <c r="AF6" s="33"/>
      <c r="AG6" s="20"/>
      <c r="AH6" s="18"/>
    </row>
    <row r="7" spans="1:34" ht="15.75" thickBot="1" x14ac:dyDescent="0.3">
      <c r="A7" s="174"/>
      <c r="B7" s="58" t="s">
        <v>103</v>
      </c>
      <c r="C7" s="21"/>
      <c r="D7" s="21"/>
      <c r="E7" s="21">
        <v>1</v>
      </c>
      <c r="F7" s="21">
        <v>1210000</v>
      </c>
      <c r="G7" s="22"/>
      <c r="H7" s="22"/>
      <c r="I7" s="22"/>
      <c r="J7" s="22"/>
      <c r="K7" s="22"/>
      <c r="L7" s="22"/>
      <c r="M7" s="22"/>
      <c r="N7" s="22"/>
      <c r="O7" s="22"/>
      <c r="P7" s="22"/>
      <c r="Q7" s="22"/>
      <c r="R7" s="22"/>
      <c r="S7" s="22"/>
      <c r="T7" s="22"/>
      <c r="U7" s="22"/>
      <c r="V7" s="22"/>
      <c r="W7" s="22"/>
      <c r="X7" s="22"/>
      <c r="Y7" s="22"/>
      <c r="Z7" s="23"/>
      <c r="AA7" s="23"/>
      <c r="AB7" s="23"/>
      <c r="AC7" s="22"/>
      <c r="AD7" s="34"/>
      <c r="AE7" s="22"/>
      <c r="AF7" s="34"/>
      <c r="AG7" s="24">
        <f>C7+E7+G7+I7+K7+Y7</f>
        <v>1</v>
      </c>
      <c r="AH7" s="22">
        <f>D7+F7+H7+J7+L7+Z7</f>
        <v>1210000</v>
      </c>
    </row>
    <row r="8" spans="1:34" ht="15.75" thickTop="1" x14ac:dyDescent="0.25">
      <c r="A8" s="179"/>
      <c r="B8" s="16" t="s">
        <v>37</v>
      </c>
      <c r="C8" s="25"/>
      <c r="D8" s="25"/>
      <c r="E8" s="25">
        <f>E7</f>
        <v>1</v>
      </c>
      <c r="F8" s="25">
        <f>F7</f>
        <v>1210000</v>
      </c>
      <c r="G8" s="26"/>
      <c r="H8" s="26"/>
      <c r="I8" s="26"/>
      <c r="J8" s="26"/>
      <c r="K8" s="26"/>
      <c r="L8" s="26"/>
      <c r="M8" s="26"/>
      <c r="N8" s="26"/>
      <c r="O8" s="26"/>
      <c r="P8" s="26"/>
      <c r="Q8" s="26"/>
      <c r="R8" s="26"/>
      <c r="S8" s="26"/>
      <c r="T8" s="26"/>
      <c r="U8" s="26"/>
      <c r="V8" s="26"/>
      <c r="W8" s="26"/>
      <c r="X8" s="26"/>
      <c r="Y8" s="26"/>
      <c r="Z8" s="27"/>
      <c r="AA8" s="27"/>
      <c r="AB8" s="27"/>
      <c r="AC8" s="62"/>
      <c r="AD8" s="35"/>
      <c r="AE8" s="62"/>
      <c r="AF8" s="35"/>
      <c r="AG8" s="28">
        <f t="shared" ref="AG8:AH8" si="0">SUM(AG7)</f>
        <v>1</v>
      </c>
      <c r="AH8" s="26">
        <f t="shared" si="0"/>
        <v>1210000</v>
      </c>
    </row>
    <row r="9" spans="1:34" x14ac:dyDescent="0.25">
      <c r="A9" s="173" t="s">
        <v>6</v>
      </c>
      <c r="B9" s="2" t="s">
        <v>34</v>
      </c>
      <c r="C9" s="29"/>
      <c r="D9" s="29"/>
      <c r="E9" s="29"/>
      <c r="F9" s="29"/>
      <c r="G9" s="5">
        <v>1</v>
      </c>
      <c r="H9" s="5">
        <v>865374</v>
      </c>
      <c r="I9" s="5"/>
      <c r="J9" s="5"/>
      <c r="K9" s="5"/>
      <c r="L9" s="5"/>
      <c r="M9" s="5"/>
      <c r="N9" s="5"/>
      <c r="O9" s="5"/>
      <c r="P9" s="5"/>
      <c r="Q9" s="5"/>
      <c r="R9" s="5"/>
      <c r="S9" s="5"/>
      <c r="T9" s="5"/>
      <c r="U9" s="5"/>
      <c r="V9" s="5"/>
      <c r="W9" s="5"/>
      <c r="X9" s="5"/>
      <c r="Y9" s="5"/>
      <c r="Z9" s="30"/>
      <c r="AA9" s="30"/>
      <c r="AB9" s="30"/>
      <c r="AC9" s="5"/>
      <c r="AD9" s="36"/>
      <c r="AE9" s="5"/>
      <c r="AF9" s="36"/>
      <c r="AG9" s="31">
        <f>C9+E9+G9+J9+I9+Y9</f>
        <v>1</v>
      </c>
      <c r="AH9" s="5">
        <f>D9+F9+H9+J9+L9+Z9</f>
        <v>865374</v>
      </c>
    </row>
    <row r="10" spans="1:34" ht="15.75" thickBot="1" x14ac:dyDescent="0.3">
      <c r="A10" s="174"/>
      <c r="B10" s="58" t="s">
        <v>103</v>
      </c>
      <c r="C10" s="21"/>
      <c r="D10" s="21"/>
      <c r="E10" s="21"/>
      <c r="F10" s="21"/>
      <c r="G10" s="22"/>
      <c r="H10" s="22"/>
      <c r="I10" s="22"/>
      <c r="J10" s="22"/>
      <c r="K10" s="22"/>
      <c r="L10" s="22"/>
      <c r="M10" s="22"/>
      <c r="N10" s="22"/>
      <c r="O10" s="22"/>
      <c r="P10" s="22"/>
      <c r="Q10" s="22"/>
      <c r="R10" s="22"/>
      <c r="S10" s="22"/>
      <c r="T10" s="22"/>
      <c r="U10" s="22"/>
      <c r="V10" s="22"/>
      <c r="W10" s="22"/>
      <c r="X10" s="22"/>
      <c r="Y10" s="22">
        <v>1</v>
      </c>
      <c r="Z10" s="23">
        <v>1802559</v>
      </c>
      <c r="AA10" s="23"/>
      <c r="AB10" s="23"/>
      <c r="AC10" s="22"/>
      <c r="AD10" s="34"/>
      <c r="AE10" s="22"/>
      <c r="AF10" s="34"/>
      <c r="AG10" s="24">
        <f>C10+E10+G10+I10+K10+Y10</f>
        <v>1</v>
      </c>
      <c r="AH10" s="22">
        <f>D10+F10+H10+J10+L10+Z10</f>
        <v>1802559</v>
      </c>
    </row>
    <row r="11" spans="1:34" ht="15.75" thickTop="1" x14ac:dyDescent="0.25">
      <c r="A11" s="179"/>
      <c r="B11" s="16" t="s">
        <v>37</v>
      </c>
      <c r="C11" s="25"/>
      <c r="D11" s="25"/>
      <c r="E11" s="25"/>
      <c r="F11" s="25"/>
      <c r="G11" s="26">
        <f>G9+G10</f>
        <v>1</v>
      </c>
      <c r="H11" s="26">
        <f>H9+H10</f>
        <v>865374</v>
      </c>
      <c r="I11" s="26"/>
      <c r="J11" s="26"/>
      <c r="K11" s="26"/>
      <c r="L11" s="26"/>
      <c r="M11" s="26"/>
      <c r="N11" s="26"/>
      <c r="O11" s="26"/>
      <c r="P11" s="26"/>
      <c r="Q11" s="26"/>
      <c r="R11" s="26"/>
      <c r="S11" s="26"/>
      <c r="T11" s="26"/>
      <c r="U11" s="26"/>
      <c r="V11" s="26"/>
      <c r="W11" s="26"/>
      <c r="X11" s="26"/>
      <c r="Y11" s="26">
        <f>Y9+Y10</f>
        <v>1</v>
      </c>
      <c r="Z11" s="27">
        <f>Z9+Z10</f>
        <v>1802559</v>
      </c>
      <c r="AA11" s="27"/>
      <c r="AB11" s="27"/>
      <c r="AC11" s="62"/>
      <c r="AD11" s="35"/>
      <c r="AE11" s="62"/>
      <c r="AF11" s="35"/>
      <c r="AG11" s="28">
        <f t="shared" ref="AG11:AH11" si="1">SUM(AG9:AG10)</f>
        <v>2</v>
      </c>
      <c r="AH11" s="26">
        <f t="shared" si="1"/>
        <v>2667933</v>
      </c>
    </row>
    <row r="12" spans="1:34" x14ac:dyDescent="0.25">
      <c r="A12" s="173" t="s">
        <v>7</v>
      </c>
      <c r="B12" s="2" t="s">
        <v>34</v>
      </c>
      <c r="C12" s="29"/>
      <c r="D12" s="29"/>
      <c r="E12" s="29"/>
      <c r="F12" s="29"/>
      <c r="G12" s="29">
        <v>1</v>
      </c>
      <c r="H12" s="29">
        <v>1107895</v>
      </c>
      <c r="I12" s="29"/>
      <c r="J12" s="29"/>
      <c r="K12" s="29">
        <v>1</v>
      </c>
      <c r="L12" s="29">
        <v>1808322</v>
      </c>
      <c r="M12" s="29"/>
      <c r="N12" s="29"/>
      <c r="O12" s="29"/>
      <c r="P12" s="29"/>
      <c r="Q12" s="29"/>
      <c r="R12" s="29"/>
      <c r="S12" s="29"/>
      <c r="T12" s="29"/>
      <c r="U12" s="29"/>
      <c r="V12" s="29"/>
      <c r="W12" s="29"/>
      <c r="X12" s="29"/>
      <c r="Y12" s="5"/>
      <c r="Z12" s="30"/>
      <c r="AA12" s="30"/>
      <c r="AB12" s="30"/>
      <c r="AC12" s="5"/>
      <c r="AD12" s="36"/>
      <c r="AE12" s="5"/>
      <c r="AF12" s="36"/>
      <c r="AG12" s="31">
        <f>C12+E12+G12+I12+K12+Y12</f>
        <v>2</v>
      </c>
      <c r="AH12" s="5">
        <f>D12+F12+H12+J12+L12+Z12</f>
        <v>2916217</v>
      </c>
    </row>
    <row r="13" spans="1:34" ht="15.75" thickBot="1" x14ac:dyDescent="0.3">
      <c r="A13" s="174"/>
      <c r="B13" s="58" t="s">
        <v>103</v>
      </c>
      <c r="C13" s="21"/>
      <c r="D13" s="21"/>
      <c r="E13" s="21">
        <v>2</v>
      </c>
      <c r="F13" s="21">
        <v>2078804</v>
      </c>
      <c r="G13" s="21"/>
      <c r="H13" s="21"/>
      <c r="I13" s="21"/>
      <c r="J13" s="21"/>
      <c r="K13" s="21"/>
      <c r="L13" s="21"/>
      <c r="M13" s="21"/>
      <c r="N13" s="21"/>
      <c r="O13" s="21"/>
      <c r="P13" s="21"/>
      <c r="Q13" s="21"/>
      <c r="R13" s="21"/>
      <c r="S13" s="21"/>
      <c r="T13" s="21"/>
      <c r="U13" s="21"/>
      <c r="V13" s="21"/>
      <c r="W13" s="21"/>
      <c r="X13" s="21"/>
      <c r="Y13" s="21">
        <v>1</v>
      </c>
      <c r="Z13" s="32">
        <v>1310273</v>
      </c>
      <c r="AA13" s="32"/>
      <c r="AB13" s="32"/>
      <c r="AC13" s="21"/>
      <c r="AD13" s="37"/>
      <c r="AE13" s="21"/>
      <c r="AF13" s="37"/>
      <c r="AG13" s="24">
        <f>C13+E13+G13+I13+K13+Y13</f>
        <v>3</v>
      </c>
      <c r="AH13" s="22">
        <f>D13+F13+H13+J13+L13+Z13</f>
        <v>3389077</v>
      </c>
    </row>
    <row r="14" spans="1:34" ht="15.75" thickTop="1" x14ac:dyDescent="0.25">
      <c r="A14" s="179"/>
      <c r="B14" s="16" t="s">
        <v>37</v>
      </c>
      <c r="C14" s="25"/>
      <c r="D14" s="25"/>
      <c r="E14" s="25">
        <f>E12+E13</f>
        <v>2</v>
      </c>
      <c r="F14" s="25">
        <f>F12+F13</f>
        <v>2078804</v>
      </c>
      <c r="G14" s="26">
        <f>G12+G13</f>
        <v>1</v>
      </c>
      <c r="H14" s="26">
        <f>H12+H13</f>
        <v>1107895</v>
      </c>
      <c r="I14" s="26"/>
      <c r="J14" s="26"/>
      <c r="K14" s="26">
        <f>K12+K13</f>
        <v>1</v>
      </c>
      <c r="L14" s="26">
        <f>L12+L13</f>
        <v>1808322</v>
      </c>
      <c r="M14" s="26"/>
      <c r="N14" s="26"/>
      <c r="O14" s="26"/>
      <c r="P14" s="26"/>
      <c r="Q14" s="26"/>
      <c r="R14" s="26"/>
      <c r="S14" s="26"/>
      <c r="T14" s="26"/>
      <c r="U14" s="26"/>
      <c r="V14" s="26"/>
      <c r="W14" s="26"/>
      <c r="X14" s="26"/>
      <c r="Y14" s="26">
        <f>Y12+Y13</f>
        <v>1</v>
      </c>
      <c r="Z14" s="27">
        <f>Z12+Z13</f>
        <v>1310273</v>
      </c>
      <c r="AA14" s="27"/>
      <c r="AB14" s="27"/>
      <c r="AC14" s="62"/>
      <c r="AD14" s="35"/>
      <c r="AE14" s="62"/>
      <c r="AF14" s="35"/>
      <c r="AG14" s="28">
        <f t="shared" ref="AG14:AH14" si="2">SUM(AG12:AG13)</f>
        <v>5</v>
      </c>
      <c r="AH14" s="26">
        <f t="shared" si="2"/>
        <v>6305294</v>
      </c>
    </row>
    <row r="15" spans="1:34" x14ac:dyDescent="0.25">
      <c r="A15" s="173" t="s">
        <v>8</v>
      </c>
      <c r="B15" s="2" t="s">
        <v>34</v>
      </c>
      <c r="C15" s="5">
        <v>3</v>
      </c>
      <c r="D15" s="5">
        <v>1874295</v>
      </c>
      <c r="E15" s="5"/>
      <c r="F15" s="5"/>
      <c r="G15" s="5">
        <v>2</v>
      </c>
      <c r="H15" s="5">
        <v>9977018</v>
      </c>
      <c r="I15" s="5">
        <v>1</v>
      </c>
      <c r="J15" s="5">
        <v>928750</v>
      </c>
      <c r="K15" s="5"/>
      <c r="L15" s="5"/>
      <c r="M15" s="5"/>
      <c r="N15" s="5"/>
      <c r="O15" s="5"/>
      <c r="P15" s="5"/>
      <c r="Q15" s="5"/>
      <c r="R15" s="5"/>
      <c r="S15" s="5"/>
      <c r="T15" s="5"/>
      <c r="U15" s="5"/>
      <c r="V15" s="5"/>
      <c r="W15" s="2"/>
      <c r="Y15" s="5">
        <v>1</v>
      </c>
      <c r="Z15" s="30">
        <v>67367397</v>
      </c>
      <c r="AA15" s="30"/>
      <c r="AB15" s="30"/>
      <c r="AC15" s="5"/>
      <c r="AD15" s="36"/>
      <c r="AE15" s="5"/>
      <c r="AF15" s="36"/>
      <c r="AG15" s="31">
        <f>C15+E15+G15+I15+K15+Y15</f>
        <v>7</v>
      </c>
      <c r="AH15" s="5">
        <f>D15+F15+H15+J15+L15+Z15</f>
        <v>80147460</v>
      </c>
    </row>
    <row r="16" spans="1:34" ht="15.75" thickBot="1" x14ac:dyDescent="0.3">
      <c r="A16" s="174"/>
      <c r="B16" s="58" t="s">
        <v>103</v>
      </c>
      <c r="C16" s="22">
        <v>5</v>
      </c>
      <c r="D16" s="22">
        <v>1070850</v>
      </c>
      <c r="E16" s="22">
        <v>1</v>
      </c>
      <c r="F16" s="22">
        <v>1427019</v>
      </c>
      <c r="G16" s="22"/>
      <c r="H16" s="22"/>
      <c r="I16" s="22"/>
      <c r="J16" s="22"/>
      <c r="K16" s="22"/>
      <c r="L16" s="22"/>
      <c r="M16" s="22"/>
      <c r="N16" s="22"/>
      <c r="O16" s="22"/>
      <c r="P16" s="22"/>
      <c r="Q16" s="22"/>
      <c r="R16" s="22"/>
      <c r="S16" s="22"/>
      <c r="T16" s="22"/>
      <c r="U16" s="22"/>
      <c r="V16" s="22"/>
      <c r="W16" s="22">
        <v>1</v>
      </c>
      <c r="X16" s="22">
        <v>462080</v>
      </c>
      <c r="Y16" s="22">
        <v>1</v>
      </c>
      <c r="Z16" s="23">
        <v>6831737</v>
      </c>
      <c r="AA16" s="23"/>
      <c r="AB16" s="23"/>
      <c r="AC16" s="22">
        <v>1</v>
      </c>
      <c r="AD16" s="34">
        <v>135000</v>
      </c>
      <c r="AE16" s="22">
        <v>1</v>
      </c>
      <c r="AF16" s="34">
        <v>340300</v>
      </c>
      <c r="AG16" s="24">
        <f>C16+E16+G16+I16+K16+W16+Y16+AC16+AE16</f>
        <v>10</v>
      </c>
      <c r="AH16" s="22">
        <f>D16+F16+H16+J16+L16+X16+Z16+AD16+AF16</f>
        <v>10266986</v>
      </c>
    </row>
    <row r="17" spans="1:34" ht="15.75" thickTop="1" x14ac:dyDescent="0.25">
      <c r="A17" s="179"/>
      <c r="B17" s="16" t="s">
        <v>37</v>
      </c>
      <c r="C17" s="26">
        <f>C16+C15</f>
        <v>8</v>
      </c>
      <c r="D17" s="26">
        <f>D16+D15</f>
        <v>2945145</v>
      </c>
      <c r="E17" s="26">
        <f t="shared" ref="E17:J17" si="3">E15+E16</f>
        <v>1</v>
      </c>
      <c r="F17" s="26">
        <f t="shared" si="3"/>
        <v>1427019</v>
      </c>
      <c r="G17" s="26">
        <f t="shared" si="3"/>
        <v>2</v>
      </c>
      <c r="H17" s="26">
        <f t="shared" si="3"/>
        <v>9977018</v>
      </c>
      <c r="I17" s="26">
        <f t="shared" si="3"/>
        <v>1</v>
      </c>
      <c r="J17" s="26">
        <f t="shared" si="3"/>
        <v>928750</v>
      </c>
      <c r="K17" s="26"/>
      <c r="L17" s="26"/>
      <c r="M17" s="26"/>
      <c r="N17" s="26"/>
      <c r="O17" s="26"/>
      <c r="P17" s="26"/>
      <c r="Q17" s="26"/>
      <c r="R17" s="26"/>
      <c r="S17" s="26"/>
      <c r="T17" s="26"/>
      <c r="U17" s="26"/>
      <c r="V17" s="26"/>
      <c r="W17" s="26">
        <f t="shared" ref="W17:AF17" si="4">W15+W16</f>
        <v>1</v>
      </c>
      <c r="X17" s="26">
        <f t="shared" si="4"/>
        <v>462080</v>
      </c>
      <c r="Y17" s="26">
        <f t="shared" si="4"/>
        <v>2</v>
      </c>
      <c r="Z17" s="27">
        <f t="shared" si="4"/>
        <v>74199134</v>
      </c>
      <c r="AA17" s="27"/>
      <c r="AB17" s="27"/>
      <c r="AC17" s="62">
        <f t="shared" si="4"/>
        <v>1</v>
      </c>
      <c r="AD17" s="35">
        <f t="shared" si="4"/>
        <v>135000</v>
      </c>
      <c r="AE17" s="62">
        <f t="shared" si="4"/>
        <v>1</v>
      </c>
      <c r="AF17" s="35">
        <f t="shared" si="4"/>
        <v>340300</v>
      </c>
      <c r="AG17" s="28">
        <f t="shared" ref="AG17:AH17" si="5">SUM(AG15:AG16)</f>
        <v>17</v>
      </c>
      <c r="AH17" s="26">
        <f t="shared" si="5"/>
        <v>90414446</v>
      </c>
    </row>
    <row r="18" spans="1:34" x14ac:dyDescent="0.25">
      <c r="A18" s="159" t="s">
        <v>99</v>
      </c>
      <c r="B18" s="2" t="s">
        <v>34</v>
      </c>
      <c r="C18" s="5">
        <v>2</v>
      </c>
      <c r="D18" s="5">
        <v>2088371</v>
      </c>
      <c r="E18" s="5"/>
      <c r="F18" s="5"/>
      <c r="G18" s="5">
        <v>1</v>
      </c>
      <c r="H18" s="5">
        <v>158665</v>
      </c>
      <c r="I18" s="5"/>
      <c r="J18" s="5"/>
      <c r="K18" s="5"/>
      <c r="L18" s="5"/>
      <c r="M18" s="5">
        <v>1</v>
      </c>
      <c r="N18" s="5">
        <v>904970</v>
      </c>
      <c r="O18" s="5"/>
      <c r="P18" s="5"/>
      <c r="Q18" s="5">
        <v>1</v>
      </c>
      <c r="R18" s="5">
        <v>3980000</v>
      </c>
      <c r="S18" s="5"/>
      <c r="T18" s="5"/>
      <c r="U18" s="5">
        <v>1</v>
      </c>
      <c r="V18" s="5">
        <v>2366000</v>
      </c>
      <c r="W18" s="5"/>
      <c r="X18" s="5"/>
      <c r="Y18" s="5"/>
      <c r="Z18" s="5"/>
      <c r="AA18" s="5"/>
      <c r="AB18" s="5"/>
      <c r="AC18" s="5"/>
      <c r="AD18" s="5"/>
      <c r="AE18" s="5">
        <v>1</v>
      </c>
      <c r="AF18" s="125">
        <v>481768</v>
      </c>
      <c r="AG18" s="126">
        <f>C18+E18+G18+I18+K18+M18+Q18+U18+W18+Y18+AC18+AE18</f>
        <v>7</v>
      </c>
      <c r="AH18" s="5">
        <f>D18+F18+H18+J18+L18+N18+R18+V18+X18+Z18+AD18+AF18</f>
        <v>9979774</v>
      </c>
    </row>
    <row r="19" spans="1:34" ht="15.75" thickBot="1" x14ac:dyDescent="0.3">
      <c r="A19" s="159"/>
      <c r="B19" s="58" t="s">
        <v>103</v>
      </c>
      <c r="C19" s="22">
        <v>1</v>
      </c>
      <c r="D19" s="22">
        <v>583141</v>
      </c>
      <c r="E19" s="22">
        <v>1</v>
      </c>
      <c r="F19" s="22">
        <v>280999</v>
      </c>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127"/>
      <c r="AG19" s="128">
        <f>C19+E19</f>
        <v>2</v>
      </c>
      <c r="AH19" s="22">
        <f>D19+F19</f>
        <v>864140</v>
      </c>
    </row>
    <row r="20" spans="1:34" ht="15.75" thickTop="1" x14ac:dyDescent="0.25">
      <c r="A20" s="159"/>
      <c r="B20" s="16" t="s">
        <v>37</v>
      </c>
      <c r="C20" s="26">
        <f>C18+C19</f>
        <v>3</v>
      </c>
      <c r="D20" s="26">
        <f>D19+D18</f>
        <v>2671512</v>
      </c>
      <c r="E20" s="26">
        <f>E19</f>
        <v>1</v>
      </c>
      <c r="F20" s="26">
        <f>F19</f>
        <v>280999</v>
      </c>
      <c r="G20" s="26">
        <f>G18</f>
        <v>1</v>
      </c>
      <c r="H20" s="26">
        <f>H18</f>
        <v>158665</v>
      </c>
      <c r="I20" s="26"/>
      <c r="J20" s="26"/>
      <c r="K20" s="26"/>
      <c r="L20" s="26"/>
      <c r="M20" s="26">
        <f t="shared" ref="M20:V20" si="6">M18</f>
        <v>1</v>
      </c>
      <c r="N20" s="26">
        <f t="shared" si="6"/>
        <v>904970</v>
      </c>
      <c r="O20" s="26"/>
      <c r="P20" s="26"/>
      <c r="Q20" s="26">
        <f t="shared" si="6"/>
        <v>1</v>
      </c>
      <c r="R20" s="26">
        <f t="shared" si="6"/>
        <v>3980000</v>
      </c>
      <c r="S20" s="26"/>
      <c r="T20" s="26"/>
      <c r="U20" s="26">
        <f t="shared" si="6"/>
        <v>1</v>
      </c>
      <c r="V20" s="26">
        <f t="shared" si="6"/>
        <v>2366000</v>
      </c>
      <c r="W20" s="26"/>
      <c r="X20" s="26"/>
      <c r="Y20" s="26"/>
      <c r="Z20" s="26"/>
      <c r="AA20" s="26"/>
      <c r="AB20" s="26"/>
      <c r="AC20" s="26"/>
      <c r="AD20" s="26"/>
      <c r="AE20" s="26">
        <f>AE18</f>
        <v>1</v>
      </c>
      <c r="AF20" s="129">
        <f>AF18</f>
        <v>481768</v>
      </c>
      <c r="AG20" s="130">
        <f>AG19+AG18</f>
        <v>9</v>
      </c>
      <c r="AH20" s="26">
        <f>AH19+AH18</f>
        <v>10843914</v>
      </c>
    </row>
    <row r="21" spans="1:34" x14ac:dyDescent="0.25">
      <c r="A21" s="159" t="s">
        <v>113</v>
      </c>
      <c r="B21" s="2" t="s">
        <v>34</v>
      </c>
      <c r="C21" s="5">
        <f>1+1+1+1+1+1</f>
        <v>6</v>
      </c>
      <c r="D21" s="5">
        <f>1199184+885950+215568+6170234+19140+30000</f>
        <v>8520076</v>
      </c>
      <c r="E21" s="5"/>
      <c r="F21" s="5"/>
      <c r="G21" s="5">
        <f>1+1</f>
        <v>2</v>
      </c>
      <c r="H21" s="5">
        <f>159983+1099174</f>
        <v>1259157</v>
      </c>
      <c r="I21" s="5"/>
      <c r="J21" s="5"/>
      <c r="K21" s="5">
        <v>1</v>
      </c>
      <c r="L21" s="5">
        <v>5525888</v>
      </c>
      <c r="M21" s="5">
        <f>1+1+1</f>
        <v>3</v>
      </c>
      <c r="N21" s="5">
        <f>491000+418000+1238058</f>
        <v>2147058</v>
      </c>
      <c r="O21" s="5">
        <v>1</v>
      </c>
      <c r="P21" s="5">
        <v>896283</v>
      </c>
      <c r="Q21" s="5">
        <f>1+1</f>
        <v>2</v>
      </c>
      <c r="R21" s="5">
        <f>1236436+37924</f>
        <v>1274360</v>
      </c>
      <c r="S21" s="5">
        <v>1</v>
      </c>
      <c r="T21" s="5">
        <v>418000</v>
      </c>
      <c r="U21" s="5"/>
      <c r="V21" s="5"/>
      <c r="W21" s="5">
        <v>1</v>
      </c>
      <c r="X21" s="5">
        <v>555184</v>
      </c>
      <c r="Y21" s="5">
        <f>1+1</f>
        <v>2</v>
      </c>
      <c r="Z21" s="5">
        <f>440000+484928</f>
        <v>924928</v>
      </c>
      <c r="AA21" s="5">
        <v>1</v>
      </c>
      <c r="AB21" s="5">
        <v>1183005</v>
      </c>
      <c r="AC21" s="5"/>
      <c r="AD21" s="5"/>
      <c r="AE21" s="5"/>
      <c r="AF21" s="125"/>
      <c r="AG21" s="126">
        <f>C21+G21+K21+M21+O21+Q21+S21+W21+Y21+AA21</f>
        <v>20</v>
      </c>
      <c r="AH21" s="5">
        <f>D21+H21+L21+N21+P21+R21+T21+X21+Z21+AB21</f>
        <v>22703939</v>
      </c>
    </row>
    <row r="22" spans="1:34" ht="15.75" thickBot="1" x14ac:dyDescent="0.3">
      <c r="A22" s="159"/>
      <c r="B22" s="58" t="s">
        <v>103</v>
      </c>
      <c r="C22" s="22">
        <v>1</v>
      </c>
      <c r="D22" s="22">
        <v>1400826</v>
      </c>
      <c r="E22" s="22">
        <v>1</v>
      </c>
      <c r="F22" s="22">
        <v>1751160</v>
      </c>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127"/>
      <c r="AG22" s="128">
        <f>C22+E22</f>
        <v>2</v>
      </c>
      <c r="AH22" s="22">
        <f>D22+F22</f>
        <v>3151986</v>
      </c>
    </row>
    <row r="23" spans="1:34" ht="15.75" thickTop="1" x14ac:dyDescent="0.25">
      <c r="A23" s="159"/>
      <c r="B23" s="16" t="s">
        <v>37</v>
      </c>
      <c r="C23" s="26">
        <f>C21+C22</f>
        <v>7</v>
      </c>
      <c r="D23" s="26">
        <f>D22+D21</f>
        <v>9920902</v>
      </c>
      <c r="E23" s="26">
        <f>E22</f>
        <v>1</v>
      </c>
      <c r="F23" s="26">
        <f>F22</f>
        <v>1751160</v>
      </c>
      <c r="G23" s="26">
        <f>G21</f>
        <v>2</v>
      </c>
      <c r="H23" s="26">
        <f>H21</f>
        <v>1259157</v>
      </c>
      <c r="I23" s="26"/>
      <c r="J23" s="26"/>
      <c r="K23" s="26">
        <f>K21</f>
        <v>1</v>
      </c>
      <c r="L23" s="26">
        <f>L21</f>
        <v>5525888</v>
      </c>
      <c r="M23" s="26">
        <f t="shared" ref="M23:R23" si="7">M21</f>
        <v>3</v>
      </c>
      <c r="N23" s="26">
        <f t="shared" si="7"/>
        <v>2147058</v>
      </c>
      <c r="O23" s="26">
        <f>O21</f>
        <v>1</v>
      </c>
      <c r="P23" s="26">
        <f>P21</f>
        <v>896283</v>
      </c>
      <c r="Q23" s="26">
        <f t="shared" si="7"/>
        <v>2</v>
      </c>
      <c r="R23" s="26">
        <f t="shared" si="7"/>
        <v>1274360</v>
      </c>
      <c r="S23" s="26">
        <f>S21</f>
        <v>1</v>
      </c>
      <c r="T23" s="26">
        <f>T21</f>
        <v>418000</v>
      </c>
      <c r="U23" s="26"/>
      <c r="V23" s="26"/>
      <c r="W23" s="26">
        <f t="shared" ref="W23:AB23" si="8">W21</f>
        <v>1</v>
      </c>
      <c r="X23" s="26">
        <f t="shared" si="8"/>
        <v>555184</v>
      </c>
      <c r="Y23" s="26">
        <f t="shared" si="8"/>
        <v>2</v>
      </c>
      <c r="Z23" s="26">
        <f t="shared" si="8"/>
        <v>924928</v>
      </c>
      <c r="AA23" s="26">
        <f t="shared" si="8"/>
        <v>1</v>
      </c>
      <c r="AB23" s="26">
        <f t="shared" si="8"/>
        <v>1183005</v>
      </c>
      <c r="AC23" s="26"/>
      <c r="AD23" s="26"/>
      <c r="AE23" s="26"/>
      <c r="AF23" s="129"/>
      <c r="AG23" s="130">
        <f>AG22+AG21</f>
        <v>22</v>
      </c>
      <c r="AH23" s="26">
        <f>AH22+AH21</f>
        <v>25855925</v>
      </c>
    </row>
  </sheetData>
  <mergeCells count="27">
    <mergeCell ref="AA4:AB4"/>
    <mergeCell ref="U4:V4"/>
    <mergeCell ref="B3:B5"/>
    <mergeCell ref="A3:A5"/>
    <mergeCell ref="A18:A20"/>
    <mergeCell ref="A6:A8"/>
    <mergeCell ref="A9:A11"/>
    <mergeCell ref="A12:A14"/>
    <mergeCell ref="A15:A17"/>
    <mergeCell ref="S4:T4"/>
    <mergeCell ref="O4:P4"/>
    <mergeCell ref="A21:A23"/>
    <mergeCell ref="Y4:Z4"/>
    <mergeCell ref="AG3:AH4"/>
    <mergeCell ref="C3:D3"/>
    <mergeCell ref="E3:X3"/>
    <mergeCell ref="W4:X4"/>
    <mergeCell ref="Y3:AF3"/>
    <mergeCell ref="AC4:AD4"/>
    <mergeCell ref="AE4:AF4"/>
    <mergeCell ref="C4:D4"/>
    <mergeCell ref="E4:F4"/>
    <mergeCell ref="G4:H4"/>
    <mergeCell ref="I4:J4"/>
    <mergeCell ref="K4:L4"/>
    <mergeCell ref="M4:N4"/>
    <mergeCell ref="Q4:R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7"/>
  <sheetViews>
    <sheetView topLeftCell="A40" workbookViewId="0">
      <selection activeCell="T63" sqref="T63:U63"/>
    </sheetView>
  </sheetViews>
  <sheetFormatPr defaultRowHeight="15" x14ac:dyDescent="0.25"/>
  <sheetData>
    <row r="1" spans="1:14" x14ac:dyDescent="0.25">
      <c r="A1" s="180" t="s">
        <v>114</v>
      </c>
      <c r="B1" s="180"/>
      <c r="C1" s="180"/>
      <c r="D1" s="180"/>
      <c r="E1" s="180"/>
      <c r="F1" s="180"/>
      <c r="G1" s="180"/>
      <c r="H1" s="180"/>
      <c r="I1" s="180"/>
      <c r="J1" s="180"/>
      <c r="K1" s="180"/>
      <c r="L1" s="180"/>
      <c r="M1" s="180"/>
      <c r="N1" s="180"/>
    </row>
    <row r="38" spans="1:17" x14ac:dyDescent="0.25">
      <c r="A38" s="2"/>
      <c r="B38" s="63" t="s">
        <v>29</v>
      </c>
      <c r="C38" s="64" t="s">
        <v>5</v>
      </c>
      <c r="D38" s="64" t="s">
        <v>31</v>
      </c>
      <c r="E38" s="64" t="s">
        <v>32</v>
      </c>
      <c r="F38" s="64" t="s">
        <v>38</v>
      </c>
      <c r="G38" s="64" t="s">
        <v>43</v>
      </c>
      <c r="H38" s="64" t="s">
        <v>100</v>
      </c>
      <c r="I38" s="64" t="s">
        <v>116</v>
      </c>
      <c r="J38" s="64" t="s">
        <v>117</v>
      </c>
      <c r="K38" s="64" t="s">
        <v>101</v>
      </c>
      <c r="L38" s="64" t="s">
        <v>102</v>
      </c>
      <c r="M38" s="65" t="s">
        <v>33</v>
      </c>
      <c r="N38" s="65" t="s">
        <v>44</v>
      </c>
      <c r="O38" s="65" t="s">
        <v>118</v>
      </c>
      <c r="P38" s="65" t="s">
        <v>45</v>
      </c>
      <c r="Q38" s="66" t="s">
        <v>3</v>
      </c>
    </row>
    <row r="39" spans="1:17" x14ac:dyDescent="0.25">
      <c r="A39" s="2" t="s">
        <v>4</v>
      </c>
      <c r="B39" s="63">
        <v>0</v>
      </c>
      <c r="C39" s="64">
        <v>1</v>
      </c>
      <c r="D39" s="64">
        <v>0</v>
      </c>
      <c r="E39" s="64">
        <v>0</v>
      </c>
      <c r="F39" s="64">
        <v>0</v>
      </c>
      <c r="G39" s="64">
        <v>0</v>
      </c>
      <c r="H39" s="64">
        <v>0</v>
      </c>
      <c r="I39" s="64">
        <v>0</v>
      </c>
      <c r="J39" s="64">
        <v>0</v>
      </c>
      <c r="K39" s="64">
        <v>0</v>
      </c>
      <c r="L39" s="64">
        <v>0</v>
      </c>
      <c r="M39" s="65">
        <v>0</v>
      </c>
      <c r="N39" s="65">
        <v>0</v>
      </c>
      <c r="O39" s="65">
        <v>0</v>
      </c>
      <c r="P39" s="65">
        <v>0</v>
      </c>
      <c r="Q39" s="66">
        <f t="shared" ref="Q39:Q44" si="0">SUM(B39:P39)</f>
        <v>1</v>
      </c>
    </row>
    <row r="40" spans="1:17" x14ac:dyDescent="0.25">
      <c r="A40" s="2" t="s">
        <v>6</v>
      </c>
      <c r="B40" s="63">
        <v>0</v>
      </c>
      <c r="C40" s="64">
        <v>0</v>
      </c>
      <c r="D40" s="64">
        <v>1</v>
      </c>
      <c r="E40" s="64">
        <v>0</v>
      </c>
      <c r="F40" s="64">
        <v>0</v>
      </c>
      <c r="G40" s="64">
        <v>0</v>
      </c>
      <c r="H40" s="64">
        <v>0</v>
      </c>
      <c r="I40" s="64">
        <v>0</v>
      </c>
      <c r="J40" s="64">
        <v>0</v>
      </c>
      <c r="K40" s="64">
        <v>0</v>
      </c>
      <c r="L40" s="64">
        <v>0</v>
      </c>
      <c r="M40" s="65">
        <v>1</v>
      </c>
      <c r="N40" s="65">
        <v>0</v>
      </c>
      <c r="O40" s="65">
        <v>0</v>
      </c>
      <c r="P40" s="65">
        <v>0</v>
      </c>
      <c r="Q40" s="66">
        <f t="shared" si="0"/>
        <v>2</v>
      </c>
    </row>
    <row r="41" spans="1:17" x14ac:dyDescent="0.25">
      <c r="A41" s="2" t="s">
        <v>7</v>
      </c>
      <c r="B41" s="63">
        <v>0</v>
      </c>
      <c r="C41" s="64">
        <v>2</v>
      </c>
      <c r="D41" s="64">
        <v>1</v>
      </c>
      <c r="E41" s="64">
        <v>0</v>
      </c>
      <c r="F41" s="64">
        <v>1</v>
      </c>
      <c r="G41" s="64">
        <v>0</v>
      </c>
      <c r="H41" s="64">
        <v>0</v>
      </c>
      <c r="I41" s="64">
        <v>0</v>
      </c>
      <c r="J41" s="64">
        <v>0</v>
      </c>
      <c r="K41" s="64">
        <v>0</v>
      </c>
      <c r="L41" s="64">
        <v>0</v>
      </c>
      <c r="M41" s="65">
        <v>1</v>
      </c>
      <c r="N41" s="65">
        <v>0</v>
      </c>
      <c r="O41" s="65">
        <v>0</v>
      </c>
      <c r="P41" s="65">
        <v>0</v>
      </c>
      <c r="Q41" s="66">
        <f t="shared" si="0"/>
        <v>5</v>
      </c>
    </row>
    <row r="42" spans="1:17" x14ac:dyDescent="0.25">
      <c r="A42" s="2" t="s">
        <v>8</v>
      </c>
      <c r="B42" s="63">
        <v>8</v>
      </c>
      <c r="C42" s="64">
        <v>1</v>
      </c>
      <c r="D42" s="64">
        <v>2</v>
      </c>
      <c r="E42" s="64">
        <v>1</v>
      </c>
      <c r="F42" s="64">
        <v>0</v>
      </c>
      <c r="G42" s="64">
        <v>1</v>
      </c>
      <c r="H42" s="64">
        <v>0</v>
      </c>
      <c r="I42" s="64">
        <v>0</v>
      </c>
      <c r="J42" s="64">
        <v>0</v>
      </c>
      <c r="K42" s="64">
        <v>0</v>
      </c>
      <c r="L42" s="64">
        <v>0</v>
      </c>
      <c r="M42" s="65">
        <v>2</v>
      </c>
      <c r="N42" s="65">
        <v>1</v>
      </c>
      <c r="O42" s="65">
        <v>0</v>
      </c>
      <c r="P42" s="65">
        <v>1</v>
      </c>
      <c r="Q42" s="66">
        <f t="shared" si="0"/>
        <v>17</v>
      </c>
    </row>
    <row r="43" spans="1:17" x14ac:dyDescent="0.25">
      <c r="A43" s="81" t="s">
        <v>99</v>
      </c>
      <c r="B43" s="63">
        <v>3</v>
      </c>
      <c r="C43" s="64">
        <v>1</v>
      </c>
      <c r="D43" s="64">
        <v>1</v>
      </c>
      <c r="E43" s="64">
        <v>0</v>
      </c>
      <c r="F43" s="64">
        <v>0</v>
      </c>
      <c r="G43" s="64">
        <v>0</v>
      </c>
      <c r="H43" s="64">
        <v>1</v>
      </c>
      <c r="I43" s="64">
        <v>0</v>
      </c>
      <c r="J43" s="64">
        <v>0</v>
      </c>
      <c r="K43" s="64">
        <v>1</v>
      </c>
      <c r="L43" s="64">
        <v>1</v>
      </c>
      <c r="M43" s="65">
        <v>0</v>
      </c>
      <c r="N43" s="65">
        <v>0</v>
      </c>
      <c r="O43" s="65">
        <v>0</v>
      </c>
      <c r="P43" s="65">
        <v>1</v>
      </c>
      <c r="Q43" s="66">
        <f t="shared" si="0"/>
        <v>9</v>
      </c>
    </row>
    <row r="44" spans="1:17" x14ac:dyDescent="0.25">
      <c r="A44" s="81" t="s">
        <v>113</v>
      </c>
      <c r="B44" s="63">
        <v>7</v>
      </c>
      <c r="C44" s="64">
        <v>1</v>
      </c>
      <c r="D44" s="64">
        <v>2</v>
      </c>
      <c r="E44" s="64">
        <v>0</v>
      </c>
      <c r="F44" s="64">
        <v>1</v>
      </c>
      <c r="G44" s="64">
        <v>1</v>
      </c>
      <c r="H44" s="64">
        <v>3</v>
      </c>
      <c r="I44" s="64">
        <v>1</v>
      </c>
      <c r="J44" s="64">
        <v>1</v>
      </c>
      <c r="K44" s="64">
        <v>2</v>
      </c>
      <c r="L44" s="64">
        <v>0</v>
      </c>
      <c r="M44" s="65">
        <v>2</v>
      </c>
      <c r="N44" s="65">
        <v>0</v>
      </c>
      <c r="O44" s="65">
        <v>1</v>
      </c>
      <c r="P44" s="65">
        <v>0</v>
      </c>
      <c r="Q44" s="66">
        <f t="shared" si="0"/>
        <v>22</v>
      </c>
    </row>
    <row r="46" spans="1:17" x14ac:dyDescent="0.25">
      <c r="A46" s="2"/>
      <c r="B46" s="2" t="s">
        <v>29</v>
      </c>
      <c r="C46" s="2" t="s">
        <v>54</v>
      </c>
      <c r="D46" s="2" t="s">
        <v>36</v>
      </c>
    </row>
    <row r="47" spans="1:17" x14ac:dyDescent="0.25">
      <c r="A47" s="2" t="s">
        <v>4</v>
      </c>
      <c r="B47" s="51">
        <f t="shared" ref="B47:B52" si="1">B39/Q39</f>
        <v>0</v>
      </c>
      <c r="C47" s="51">
        <f>C39/Q39</f>
        <v>1</v>
      </c>
      <c r="D47" s="51">
        <f>M39/Q39</f>
        <v>0</v>
      </c>
    </row>
    <row r="48" spans="1:17" x14ac:dyDescent="0.25">
      <c r="A48" s="2" t="s">
        <v>6</v>
      </c>
      <c r="B48" s="51">
        <f t="shared" si="1"/>
        <v>0</v>
      </c>
      <c r="C48" s="51">
        <f>D40/Q40</f>
        <v>0.5</v>
      </c>
      <c r="D48" s="51">
        <f>M40/Q40</f>
        <v>0.5</v>
      </c>
    </row>
    <row r="49" spans="1:12" x14ac:dyDescent="0.25">
      <c r="A49" s="2" t="s">
        <v>7</v>
      </c>
      <c r="B49" s="51">
        <f t="shared" si="1"/>
        <v>0</v>
      </c>
      <c r="C49" s="51">
        <f>(C41+D41+F41)/Q41</f>
        <v>0.8</v>
      </c>
      <c r="D49" s="51">
        <f>M41/Q41</f>
        <v>0.2</v>
      </c>
    </row>
    <row r="50" spans="1:12" x14ac:dyDescent="0.25">
      <c r="A50" s="2" t="s">
        <v>8</v>
      </c>
      <c r="B50" s="51">
        <f t="shared" si="1"/>
        <v>0.47058823529411764</v>
      </c>
      <c r="C50" s="51">
        <f>(C42+D42+E42+G42)/Q42</f>
        <v>0.29411764705882354</v>
      </c>
      <c r="D50" s="51">
        <f>(M42+N42+P42)/Q42</f>
        <v>0.23529411764705882</v>
      </c>
    </row>
    <row r="51" spans="1:12" x14ac:dyDescent="0.25">
      <c r="A51" s="81" t="s">
        <v>99</v>
      </c>
      <c r="B51" s="51">
        <f t="shared" si="1"/>
        <v>0.33333333333333331</v>
      </c>
      <c r="C51" s="51">
        <f>(C43+D43+E43+F43+G43+H43+K43+L43)/Q43</f>
        <v>0.55555555555555558</v>
      </c>
      <c r="D51" s="51">
        <f>(M43+N43+P43)/Q43</f>
        <v>0.1111111111111111</v>
      </c>
    </row>
    <row r="52" spans="1:12" x14ac:dyDescent="0.25">
      <c r="A52" s="81" t="s">
        <v>113</v>
      </c>
      <c r="B52" s="51">
        <f t="shared" si="1"/>
        <v>0.31818181818181818</v>
      </c>
      <c r="C52" s="51">
        <f>(C44+D44+E44+F44+G44+H44+I44+J44+K44+L44)/Q44</f>
        <v>0.54545454545454541</v>
      </c>
      <c r="D52" s="51">
        <f>(M44+N44+O44+P44)/Q44</f>
        <v>0.13636363636363635</v>
      </c>
      <c r="E52" s="38"/>
    </row>
    <row r="54" spans="1:12" x14ac:dyDescent="0.25">
      <c r="A54" s="2"/>
      <c r="B54" s="63" t="s">
        <v>29</v>
      </c>
      <c r="C54" s="64" t="s">
        <v>5</v>
      </c>
      <c r="D54" s="64" t="s">
        <v>31</v>
      </c>
      <c r="E54" s="144" t="s">
        <v>38</v>
      </c>
      <c r="F54" s="64" t="s">
        <v>100</v>
      </c>
      <c r="G54" s="64" t="s">
        <v>117</v>
      </c>
      <c r="H54" s="64" t="s">
        <v>101</v>
      </c>
      <c r="I54" s="64" t="s">
        <v>116</v>
      </c>
      <c r="J54" s="64" t="s">
        <v>119</v>
      </c>
      <c r="K54" s="65" t="s">
        <v>33</v>
      </c>
      <c r="L54" s="65" t="s">
        <v>118</v>
      </c>
    </row>
    <row r="55" spans="1:12" x14ac:dyDescent="0.25">
      <c r="A55" s="81" t="s">
        <v>65</v>
      </c>
      <c r="B55" s="2">
        <v>0</v>
      </c>
      <c r="C55" s="2">
        <v>0</v>
      </c>
      <c r="D55" s="2">
        <v>0</v>
      </c>
      <c r="E55" s="81">
        <v>0</v>
      </c>
      <c r="F55" s="81">
        <v>0</v>
      </c>
      <c r="G55" s="81">
        <v>0</v>
      </c>
      <c r="H55" s="81">
        <v>0</v>
      </c>
      <c r="I55" s="81">
        <v>0</v>
      </c>
      <c r="J55" s="81">
        <v>0</v>
      </c>
      <c r="K55" s="2">
        <v>0</v>
      </c>
      <c r="L55" s="81">
        <v>0</v>
      </c>
    </row>
    <row r="56" spans="1:12" x14ac:dyDescent="0.25">
      <c r="A56" s="81" t="s">
        <v>66</v>
      </c>
      <c r="B56" s="2">
        <v>6</v>
      </c>
      <c r="C56" s="2">
        <v>0</v>
      </c>
      <c r="D56" s="2">
        <v>2</v>
      </c>
      <c r="E56" s="81">
        <v>1</v>
      </c>
      <c r="F56" s="81">
        <v>3</v>
      </c>
      <c r="G56" s="81">
        <v>1</v>
      </c>
      <c r="H56" s="81">
        <v>2</v>
      </c>
      <c r="I56" s="81">
        <v>1</v>
      </c>
      <c r="J56" s="81">
        <v>1</v>
      </c>
      <c r="K56" s="2">
        <v>2</v>
      </c>
      <c r="L56" s="81">
        <v>1</v>
      </c>
    </row>
    <row r="57" spans="1:12" x14ac:dyDescent="0.25">
      <c r="A57" s="81" t="s">
        <v>67</v>
      </c>
      <c r="B57" s="2">
        <v>1</v>
      </c>
      <c r="C57" s="2">
        <v>1</v>
      </c>
      <c r="D57" s="2">
        <v>0</v>
      </c>
      <c r="E57" s="81">
        <v>0</v>
      </c>
      <c r="F57" s="2">
        <v>0</v>
      </c>
      <c r="G57" s="81">
        <v>0</v>
      </c>
      <c r="H57" s="2">
        <v>0</v>
      </c>
      <c r="I57" s="2">
        <v>0</v>
      </c>
      <c r="J57" s="81">
        <v>0</v>
      </c>
      <c r="K57" s="2">
        <v>0</v>
      </c>
      <c r="L57" s="81">
        <v>0</v>
      </c>
    </row>
  </sheetData>
  <mergeCells count="1">
    <mergeCell ref="A1:N1"/>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3"/>
  <sheetViews>
    <sheetView topLeftCell="A22" workbookViewId="0">
      <selection activeCell="K40" sqref="K40"/>
    </sheetView>
  </sheetViews>
  <sheetFormatPr defaultRowHeight="15" x14ac:dyDescent="0.25"/>
  <cols>
    <col min="2" max="2" width="13.5703125" customWidth="1"/>
    <col min="3" max="3" width="8.85546875" customWidth="1"/>
    <col min="4" max="4" width="10.140625" customWidth="1"/>
    <col min="5" max="5" width="9.85546875" bestFit="1" customWidth="1"/>
    <col min="6" max="6" width="10.7109375" customWidth="1"/>
    <col min="7" max="7" width="9.85546875" customWidth="1"/>
    <col min="8" max="8" width="10" customWidth="1"/>
    <col min="9" max="9" width="9.85546875" bestFit="1" customWidth="1"/>
    <col min="11" max="11" width="9.85546875" bestFit="1" customWidth="1"/>
  </cols>
  <sheetData>
    <row r="1" spans="1:8" ht="33" customHeight="1" x14ac:dyDescent="0.25">
      <c r="A1" s="197" t="s">
        <v>74</v>
      </c>
      <c r="B1" s="197"/>
      <c r="C1" s="197"/>
      <c r="D1" s="197"/>
      <c r="E1" s="197"/>
      <c r="F1" s="197"/>
      <c r="G1" s="197"/>
      <c r="H1" s="197"/>
    </row>
    <row r="2" spans="1:8" ht="15.75" customHeight="1" x14ac:dyDescent="0.25"/>
    <row r="3" spans="1:8" ht="15" customHeight="1" x14ac:dyDescent="0.25">
      <c r="A3" s="160"/>
      <c r="B3" s="188" t="s">
        <v>39</v>
      </c>
      <c r="C3" s="160" t="s">
        <v>58</v>
      </c>
      <c r="D3" s="160"/>
      <c r="E3" s="160"/>
      <c r="F3" s="160"/>
      <c r="G3" s="160"/>
      <c r="H3" s="160"/>
    </row>
    <row r="4" spans="1:8" x14ac:dyDescent="0.25">
      <c r="A4" s="160"/>
      <c r="B4" s="188"/>
      <c r="C4" s="187" t="s">
        <v>60</v>
      </c>
      <c r="D4" s="187"/>
      <c r="E4" s="198" t="s">
        <v>61</v>
      </c>
      <c r="F4" s="199"/>
      <c r="G4" s="188" t="s">
        <v>59</v>
      </c>
      <c r="H4" s="188"/>
    </row>
    <row r="5" spans="1:8" ht="45.75" thickBot="1" x14ac:dyDescent="0.3">
      <c r="A5" s="190"/>
      <c r="B5" s="189"/>
      <c r="C5" s="12" t="s">
        <v>68</v>
      </c>
      <c r="D5" s="12" t="s">
        <v>89</v>
      </c>
      <c r="E5" s="12" t="s">
        <v>68</v>
      </c>
      <c r="F5" s="12" t="s">
        <v>89</v>
      </c>
      <c r="G5" s="82" t="s">
        <v>68</v>
      </c>
      <c r="H5" s="12" t="s">
        <v>89</v>
      </c>
    </row>
    <row r="6" spans="1:8" ht="15.75" thickTop="1" x14ac:dyDescent="0.25">
      <c r="A6" s="191" t="s">
        <v>4</v>
      </c>
      <c r="B6" s="6" t="s">
        <v>66</v>
      </c>
      <c r="C6" s="18">
        <v>0</v>
      </c>
      <c r="D6" s="18">
        <v>0</v>
      </c>
      <c r="E6" s="9"/>
      <c r="F6" s="83"/>
      <c r="G6" s="6"/>
      <c r="H6" s="6"/>
    </row>
    <row r="7" spans="1:8" ht="15.75" thickBot="1" x14ac:dyDescent="0.3">
      <c r="A7" s="176"/>
      <c r="B7" s="72" t="s">
        <v>67</v>
      </c>
      <c r="C7" s="74">
        <v>1</v>
      </c>
      <c r="D7" s="90">
        <v>1210000</v>
      </c>
      <c r="E7" s="72"/>
      <c r="F7" s="72"/>
      <c r="G7" s="72"/>
      <c r="H7" s="72"/>
    </row>
    <row r="8" spans="1:8" x14ac:dyDescent="0.25">
      <c r="A8" s="192"/>
      <c r="B8" s="85" t="s">
        <v>3</v>
      </c>
      <c r="C8" s="86">
        <v>1</v>
      </c>
      <c r="D8" s="87">
        <f>SUM(D7)</f>
        <v>1210000</v>
      </c>
      <c r="E8" s="88"/>
      <c r="F8" s="89"/>
      <c r="G8" s="95"/>
      <c r="H8" s="95"/>
    </row>
    <row r="9" spans="1:8" x14ac:dyDescent="0.25">
      <c r="A9" s="154" t="s">
        <v>6</v>
      </c>
      <c r="B9" s="2" t="s">
        <v>66</v>
      </c>
      <c r="C9" s="5">
        <v>1</v>
      </c>
      <c r="D9" s="4">
        <v>865374</v>
      </c>
      <c r="E9" s="4"/>
      <c r="F9" s="84"/>
      <c r="G9" s="2"/>
      <c r="H9" s="2"/>
    </row>
    <row r="10" spans="1:8" ht="15.75" thickBot="1" x14ac:dyDescent="0.3">
      <c r="A10" s="176"/>
      <c r="B10" s="72" t="s">
        <v>67</v>
      </c>
      <c r="C10" s="74">
        <v>1</v>
      </c>
      <c r="D10" s="74">
        <v>1802559</v>
      </c>
      <c r="E10" s="72"/>
      <c r="F10" s="72"/>
      <c r="G10" s="72"/>
      <c r="H10" s="72"/>
    </row>
    <row r="11" spans="1:8" x14ac:dyDescent="0.25">
      <c r="A11" s="192"/>
      <c r="B11" s="85" t="s">
        <v>3</v>
      </c>
      <c r="C11" s="86">
        <f>SUM(C9:C10)</f>
        <v>2</v>
      </c>
      <c r="D11" s="86">
        <f>SUM(D9:D10)</f>
        <v>2667933</v>
      </c>
      <c r="E11" s="88"/>
      <c r="F11" s="89"/>
      <c r="G11" s="95"/>
      <c r="H11" s="95"/>
    </row>
    <row r="12" spans="1:8" x14ac:dyDescent="0.25">
      <c r="A12" s="154" t="s">
        <v>7</v>
      </c>
      <c r="B12" s="2" t="s">
        <v>66</v>
      </c>
      <c r="C12" s="4">
        <v>2</v>
      </c>
      <c r="D12" s="4">
        <v>2916217</v>
      </c>
      <c r="E12" s="4"/>
      <c r="F12" s="84"/>
      <c r="G12" s="2"/>
      <c r="H12" s="2"/>
    </row>
    <row r="13" spans="1:8" ht="15.75" thickBot="1" x14ac:dyDescent="0.3">
      <c r="A13" s="176"/>
      <c r="B13" s="72" t="s">
        <v>67</v>
      </c>
      <c r="C13" s="92">
        <v>2</v>
      </c>
      <c r="D13" s="74">
        <v>3389077</v>
      </c>
      <c r="E13" s="74"/>
      <c r="F13" s="74"/>
      <c r="G13" s="72"/>
      <c r="H13" s="72"/>
    </row>
    <row r="14" spans="1:8" x14ac:dyDescent="0.25">
      <c r="A14" s="192"/>
      <c r="B14" s="85" t="s">
        <v>3</v>
      </c>
      <c r="C14" s="86">
        <f>SUM(C12:C13)</f>
        <v>4</v>
      </c>
      <c r="D14" s="86">
        <f>SUM(D12:D13)</f>
        <v>6305294</v>
      </c>
      <c r="E14" s="86"/>
      <c r="F14" s="91"/>
      <c r="G14" s="95"/>
      <c r="H14" s="95"/>
    </row>
    <row r="15" spans="1:8" x14ac:dyDescent="0.25">
      <c r="A15" s="160" t="s">
        <v>8</v>
      </c>
      <c r="B15" s="2" t="s">
        <v>66</v>
      </c>
      <c r="C15" s="5">
        <v>7</v>
      </c>
      <c r="D15" s="5">
        <v>80147460</v>
      </c>
      <c r="E15" s="2"/>
      <c r="F15" s="2"/>
      <c r="G15" s="2"/>
      <c r="H15" s="2"/>
    </row>
    <row r="16" spans="1:8" ht="15.75" thickBot="1" x14ac:dyDescent="0.3">
      <c r="A16" s="160"/>
      <c r="B16" s="72" t="s">
        <v>67</v>
      </c>
      <c r="C16" s="92">
        <v>4</v>
      </c>
      <c r="D16" s="74">
        <v>10266986</v>
      </c>
      <c r="E16" s="72"/>
      <c r="F16" s="72"/>
      <c r="G16" s="72"/>
      <c r="H16" s="72"/>
    </row>
    <row r="17" spans="1:10" x14ac:dyDescent="0.25">
      <c r="A17" s="160"/>
      <c r="B17" s="85" t="s">
        <v>3</v>
      </c>
      <c r="C17" s="86">
        <f>SUM(C15:C16)</f>
        <v>11</v>
      </c>
      <c r="D17" s="86">
        <f>SUM(D15:D16)</f>
        <v>90414446</v>
      </c>
      <c r="E17" s="88"/>
      <c r="F17" s="88"/>
      <c r="G17" s="95"/>
      <c r="H17" s="95"/>
    </row>
    <row r="18" spans="1:10" x14ac:dyDescent="0.25">
      <c r="A18" s="160" t="s">
        <v>99</v>
      </c>
      <c r="B18" s="2" t="s">
        <v>66</v>
      </c>
      <c r="C18" s="5">
        <v>6</v>
      </c>
      <c r="D18" s="5">
        <v>9979774</v>
      </c>
      <c r="E18" s="2"/>
      <c r="F18" s="2"/>
      <c r="G18" s="2"/>
      <c r="H18" s="2"/>
    </row>
    <row r="19" spans="1:10" ht="15.75" thickBot="1" x14ac:dyDescent="0.3">
      <c r="A19" s="160"/>
      <c r="B19" s="72" t="s">
        <v>67</v>
      </c>
      <c r="C19" s="92">
        <v>2</v>
      </c>
      <c r="D19" s="74">
        <v>864140</v>
      </c>
      <c r="E19" s="72"/>
      <c r="F19" s="72"/>
      <c r="G19" s="72"/>
      <c r="H19" s="72"/>
    </row>
    <row r="20" spans="1:10" x14ac:dyDescent="0.25">
      <c r="A20" s="160"/>
      <c r="B20" s="85" t="s">
        <v>3</v>
      </c>
      <c r="C20" s="86">
        <f>C19+C18</f>
        <v>8</v>
      </c>
      <c r="D20" s="86">
        <f>D19+D18</f>
        <v>10843914</v>
      </c>
      <c r="E20" s="88"/>
      <c r="F20" s="88"/>
      <c r="G20" s="95"/>
      <c r="H20" s="95"/>
    </row>
    <row r="21" spans="1:10" x14ac:dyDescent="0.25">
      <c r="A21" s="160" t="s">
        <v>113</v>
      </c>
      <c r="B21" s="2" t="s">
        <v>66</v>
      </c>
      <c r="C21" s="5">
        <v>15</v>
      </c>
      <c r="D21" s="5">
        <v>22219012</v>
      </c>
      <c r="E21" s="2"/>
      <c r="F21" s="2"/>
      <c r="G21" s="2"/>
      <c r="H21" s="2"/>
    </row>
    <row r="22" spans="1:10" ht="15.75" thickBot="1" x14ac:dyDescent="0.3">
      <c r="A22" s="160"/>
      <c r="B22" s="72" t="s">
        <v>67</v>
      </c>
      <c r="C22" s="92">
        <v>3</v>
      </c>
      <c r="D22" s="74">
        <v>3636914</v>
      </c>
      <c r="E22" s="72"/>
      <c r="F22" s="72"/>
      <c r="G22" s="72"/>
      <c r="H22" s="72"/>
    </row>
    <row r="23" spans="1:10" x14ac:dyDescent="0.25">
      <c r="A23" s="160"/>
      <c r="B23" s="85" t="s">
        <v>3</v>
      </c>
      <c r="C23" s="86">
        <f>C22+C21</f>
        <v>18</v>
      </c>
      <c r="D23" s="86">
        <f>D22+D21</f>
        <v>25855926</v>
      </c>
      <c r="E23" s="88"/>
      <c r="F23" s="88"/>
      <c r="G23" s="95"/>
      <c r="H23" s="95"/>
    </row>
    <row r="25" spans="1:10" ht="29.25" customHeight="1" x14ac:dyDescent="0.25">
      <c r="A25" s="197" t="s">
        <v>90</v>
      </c>
      <c r="B25" s="197"/>
      <c r="C25" s="197"/>
      <c r="D25" s="197"/>
      <c r="E25" s="197"/>
      <c r="F25" s="197"/>
      <c r="G25" s="197"/>
      <c r="H25" s="197"/>
    </row>
    <row r="27" spans="1:10" x14ac:dyDescent="0.25">
      <c r="A27" s="154"/>
      <c r="B27" s="193" t="s">
        <v>39</v>
      </c>
      <c r="C27" s="160" t="s">
        <v>69</v>
      </c>
      <c r="D27" s="160"/>
      <c r="E27" s="160"/>
      <c r="F27" s="160"/>
      <c r="G27" s="160"/>
      <c r="H27" s="160"/>
      <c r="I27" s="160"/>
      <c r="J27" s="160"/>
    </row>
    <row r="28" spans="1:10" ht="29.25" customHeight="1" x14ac:dyDescent="0.25">
      <c r="A28" s="176"/>
      <c r="B28" s="194"/>
      <c r="C28" s="196" t="s">
        <v>120</v>
      </c>
      <c r="D28" s="196"/>
      <c r="E28" s="196" t="s">
        <v>71</v>
      </c>
      <c r="F28" s="196"/>
      <c r="G28" s="181" t="s">
        <v>72</v>
      </c>
      <c r="H28" s="182"/>
      <c r="I28" s="181" t="s">
        <v>123</v>
      </c>
      <c r="J28" s="182"/>
    </row>
    <row r="29" spans="1:10" ht="45.75" thickBot="1" x14ac:dyDescent="0.3">
      <c r="A29" s="155"/>
      <c r="B29" s="195"/>
      <c r="C29" s="142" t="s">
        <v>68</v>
      </c>
      <c r="D29" s="12" t="s">
        <v>89</v>
      </c>
      <c r="E29" s="82" t="s">
        <v>68</v>
      </c>
      <c r="F29" s="12" t="s">
        <v>89</v>
      </c>
      <c r="G29" s="142" t="s">
        <v>68</v>
      </c>
      <c r="H29" s="12" t="s">
        <v>89</v>
      </c>
      <c r="I29" s="142" t="s">
        <v>68</v>
      </c>
      <c r="J29" s="12" t="s">
        <v>89</v>
      </c>
    </row>
    <row r="30" spans="1:10" ht="15.75" thickTop="1" x14ac:dyDescent="0.25">
      <c r="A30" s="191" t="s">
        <v>4</v>
      </c>
      <c r="B30" s="6" t="s">
        <v>66</v>
      </c>
      <c r="C30" s="6"/>
      <c r="D30" s="6"/>
      <c r="E30" s="18"/>
      <c r="F30" s="18"/>
      <c r="G30" s="18"/>
      <c r="H30" s="18"/>
      <c r="I30" s="18"/>
      <c r="J30" s="18"/>
    </row>
    <row r="31" spans="1:10" x14ac:dyDescent="0.25">
      <c r="A31" s="192"/>
      <c r="B31" s="2" t="s">
        <v>67</v>
      </c>
      <c r="C31" s="2"/>
      <c r="D31" s="2"/>
      <c r="E31" s="5"/>
      <c r="F31" s="5"/>
      <c r="G31" s="5"/>
      <c r="H31" s="5"/>
      <c r="I31" s="5"/>
      <c r="J31" s="5"/>
    </row>
    <row r="32" spans="1:10" x14ac:dyDescent="0.25">
      <c r="A32" s="154" t="s">
        <v>6</v>
      </c>
      <c r="B32" s="2" t="s">
        <v>66</v>
      </c>
      <c r="C32" s="2"/>
      <c r="D32" s="2"/>
      <c r="E32" s="5">
        <v>1</v>
      </c>
      <c r="F32" s="5">
        <v>865374</v>
      </c>
      <c r="G32" s="5"/>
      <c r="H32" s="5"/>
      <c r="I32" s="5"/>
      <c r="J32" s="5"/>
    </row>
    <row r="33" spans="1:11" x14ac:dyDescent="0.25">
      <c r="A33" s="192"/>
      <c r="B33" s="2" t="s">
        <v>67</v>
      </c>
      <c r="C33" s="2"/>
      <c r="D33" s="2"/>
      <c r="E33" s="5">
        <v>1</v>
      </c>
      <c r="F33" s="5">
        <v>1802559</v>
      </c>
      <c r="G33" s="5"/>
      <c r="H33" s="5"/>
      <c r="I33" s="5"/>
      <c r="J33" s="5"/>
    </row>
    <row r="34" spans="1:11" x14ac:dyDescent="0.25">
      <c r="A34" s="154" t="s">
        <v>7</v>
      </c>
      <c r="B34" s="2" t="s">
        <v>66</v>
      </c>
      <c r="C34" s="2"/>
      <c r="D34" s="2"/>
      <c r="E34" s="5">
        <v>2</v>
      </c>
      <c r="F34" s="5">
        <v>2916217</v>
      </c>
      <c r="G34" s="5"/>
      <c r="H34" s="5"/>
      <c r="I34" s="5"/>
      <c r="J34" s="5"/>
    </row>
    <row r="35" spans="1:11" x14ac:dyDescent="0.25">
      <c r="A35" s="192"/>
      <c r="B35" s="2" t="s">
        <v>67</v>
      </c>
      <c r="C35" s="2"/>
      <c r="D35" s="2"/>
      <c r="E35" s="5">
        <v>1</v>
      </c>
      <c r="F35" s="5">
        <v>1310273</v>
      </c>
      <c r="G35" s="5"/>
      <c r="H35" s="5"/>
      <c r="I35" s="5"/>
      <c r="J35" s="5"/>
    </row>
    <row r="36" spans="1:11" x14ac:dyDescent="0.25">
      <c r="A36" s="154" t="s">
        <v>8</v>
      </c>
      <c r="B36" s="2" t="s">
        <v>66</v>
      </c>
      <c r="C36" s="2"/>
      <c r="D36" s="2"/>
      <c r="E36" s="5">
        <v>4</v>
      </c>
      <c r="F36" s="5">
        <v>75709647</v>
      </c>
      <c r="G36" s="5">
        <v>1</v>
      </c>
      <c r="H36" s="5">
        <v>3181818</v>
      </c>
      <c r="I36" s="5"/>
      <c r="J36" s="5"/>
    </row>
    <row r="37" spans="1:11" x14ac:dyDescent="0.25">
      <c r="A37" s="192"/>
      <c r="B37" s="2" t="s">
        <v>67</v>
      </c>
      <c r="C37" s="2"/>
      <c r="D37" s="2"/>
      <c r="E37" s="5">
        <v>1</v>
      </c>
      <c r="F37" s="5">
        <v>684000</v>
      </c>
      <c r="G37" s="5"/>
      <c r="H37" s="5"/>
      <c r="I37" s="5">
        <v>1</v>
      </c>
      <c r="J37" s="5">
        <v>6831737</v>
      </c>
    </row>
    <row r="38" spans="1:11" ht="17.25" customHeight="1" x14ac:dyDescent="0.25">
      <c r="A38" s="160" t="s">
        <v>99</v>
      </c>
      <c r="B38" s="81" t="s">
        <v>66</v>
      </c>
      <c r="C38" s="2"/>
      <c r="D38" s="2"/>
      <c r="E38" s="5">
        <v>2</v>
      </c>
      <c r="F38" s="5">
        <v>6077860</v>
      </c>
      <c r="G38" s="5">
        <v>2</v>
      </c>
      <c r="H38" s="5">
        <v>1377249</v>
      </c>
      <c r="I38" s="5"/>
      <c r="J38" s="5"/>
    </row>
    <row r="39" spans="1:11" ht="17.25" customHeight="1" x14ac:dyDescent="0.25">
      <c r="A39" s="160"/>
      <c r="B39" s="81" t="s">
        <v>67</v>
      </c>
      <c r="C39" s="2"/>
      <c r="D39" s="2"/>
      <c r="E39" s="5">
        <v>1</v>
      </c>
      <c r="F39" s="5">
        <v>583141</v>
      </c>
      <c r="G39" s="5"/>
      <c r="H39" s="5"/>
      <c r="I39" s="5">
        <v>1</v>
      </c>
      <c r="J39" s="5">
        <v>280999</v>
      </c>
    </row>
    <row r="40" spans="1:11" ht="17.25" customHeight="1" x14ac:dyDescent="0.25">
      <c r="A40" s="160" t="s">
        <v>113</v>
      </c>
      <c r="B40" s="81" t="s">
        <v>66</v>
      </c>
      <c r="C40" s="2">
        <v>1</v>
      </c>
      <c r="D40" s="5">
        <v>159983</v>
      </c>
      <c r="E40" s="5">
        <f>1+1+1</f>
        <v>3</v>
      </c>
      <c r="F40" s="5">
        <f>896283+418000+30000</f>
        <v>1344283</v>
      </c>
      <c r="G40" s="5">
        <f>1+1+1+1</f>
        <v>4</v>
      </c>
      <c r="H40" s="5">
        <f>418000+440000+5525888+484928</f>
        <v>6868816</v>
      </c>
      <c r="I40" s="5"/>
      <c r="J40" s="5"/>
      <c r="K40" s="75"/>
    </row>
    <row r="41" spans="1:11" ht="17.25" customHeight="1" x14ac:dyDescent="0.25">
      <c r="A41" s="160"/>
      <c r="B41" s="81" t="s">
        <v>67</v>
      </c>
      <c r="C41" s="2"/>
      <c r="D41" s="2"/>
      <c r="E41" s="5"/>
      <c r="F41" s="5"/>
      <c r="G41" s="5"/>
      <c r="H41" s="5"/>
      <c r="I41" s="5"/>
      <c r="J41" s="5"/>
    </row>
    <row r="42" spans="1:11" ht="17.25" customHeight="1" x14ac:dyDescent="0.25">
      <c r="A42" s="110"/>
      <c r="B42" s="78"/>
      <c r="C42" s="76"/>
      <c r="D42" s="76"/>
      <c r="E42" s="76"/>
      <c r="F42" s="76"/>
      <c r="G42" s="76"/>
      <c r="H42" s="76"/>
      <c r="I42" s="75"/>
    </row>
    <row r="43" spans="1:11" x14ac:dyDescent="0.25">
      <c r="A43" s="110"/>
      <c r="B43" s="78"/>
      <c r="C43" s="76"/>
      <c r="D43" s="76"/>
      <c r="E43" s="76"/>
      <c r="F43" s="76"/>
      <c r="G43" s="76"/>
      <c r="H43" s="76"/>
      <c r="I43" s="75"/>
    </row>
    <row r="44" spans="1:11" x14ac:dyDescent="0.25">
      <c r="A44" s="110"/>
      <c r="B44" s="78"/>
      <c r="C44" s="76"/>
      <c r="D44" s="76"/>
      <c r="E44" s="76"/>
      <c r="F44" s="76"/>
      <c r="G44" s="76"/>
      <c r="H44" s="76"/>
      <c r="I44" s="75"/>
    </row>
    <row r="45" spans="1:11" x14ac:dyDescent="0.25">
      <c r="A45" s="110"/>
      <c r="B45" s="78"/>
      <c r="C45" s="76"/>
      <c r="D45" s="76"/>
      <c r="E45" s="76"/>
      <c r="F45" s="76"/>
      <c r="G45" s="76"/>
      <c r="H45" s="76"/>
      <c r="I45" s="75"/>
    </row>
    <row r="46" spans="1:11" x14ac:dyDescent="0.25">
      <c r="A46" s="110"/>
      <c r="B46" s="78"/>
      <c r="C46" s="76"/>
      <c r="D46" s="76"/>
      <c r="E46" s="76"/>
      <c r="F46" s="76"/>
      <c r="G46" s="76"/>
      <c r="H46" s="76"/>
      <c r="I46" s="75"/>
    </row>
    <row r="47" spans="1:11" x14ac:dyDescent="0.25">
      <c r="A47" s="110"/>
      <c r="B47" s="78"/>
      <c r="C47" s="76"/>
      <c r="D47" s="76"/>
      <c r="E47" s="76"/>
      <c r="F47" s="76"/>
      <c r="G47" s="76"/>
      <c r="H47" s="76"/>
      <c r="I47" s="75"/>
    </row>
    <row r="48" spans="1:11" x14ac:dyDescent="0.25">
      <c r="C48" s="75"/>
      <c r="E48" s="75"/>
      <c r="G48" s="75"/>
    </row>
    <row r="49" spans="1:8" ht="15.75" thickBot="1" x14ac:dyDescent="0.3">
      <c r="A49" s="96" t="s">
        <v>81</v>
      </c>
      <c r="B49" s="97"/>
      <c r="C49" s="34"/>
      <c r="D49" s="97"/>
      <c r="E49" s="34"/>
      <c r="F49" s="97"/>
      <c r="G49" s="34"/>
      <c r="H49" s="47"/>
    </row>
    <row r="50" spans="1:8" ht="137.25" customHeight="1" thickTop="1" x14ac:dyDescent="0.25">
      <c r="A50" s="183" t="s">
        <v>121</v>
      </c>
      <c r="B50" s="183"/>
      <c r="C50" s="184" t="s">
        <v>122</v>
      </c>
      <c r="D50" s="185"/>
      <c r="E50" s="185"/>
      <c r="F50" s="185"/>
      <c r="G50" s="185"/>
      <c r="H50" s="186"/>
    </row>
    <row r="51" spans="1:8" ht="30" customHeight="1" x14ac:dyDescent="0.25">
      <c r="A51" s="183" t="s">
        <v>78</v>
      </c>
      <c r="B51" s="183"/>
      <c r="C51" s="184" t="s">
        <v>75</v>
      </c>
      <c r="D51" s="185"/>
      <c r="E51" s="185"/>
      <c r="F51" s="185"/>
      <c r="G51" s="185"/>
      <c r="H51" s="186"/>
    </row>
    <row r="52" spans="1:8" ht="163.5" customHeight="1" x14ac:dyDescent="0.25">
      <c r="A52" s="200" t="s">
        <v>79</v>
      </c>
      <c r="B52" s="200"/>
      <c r="C52" s="203" t="s">
        <v>76</v>
      </c>
      <c r="D52" s="204"/>
      <c r="E52" s="204"/>
      <c r="F52" s="204"/>
      <c r="G52" s="204"/>
      <c r="H52" s="205"/>
    </row>
    <row r="53" spans="1:8" ht="58.5" customHeight="1" x14ac:dyDescent="0.25">
      <c r="A53" s="201" t="s">
        <v>80</v>
      </c>
      <c r="B53" s="202"/>
      <c r="C53" s="203" t="s">
        <v>77</v>
      </c>
      <c r="D53" s="204"/>
      <c r="E53" s="204"/>
      <c r="F53" s="204"/>
      <c r="G53" s="204"/>
      <c r="H53" s="205"/>
    </row>
  </sheetData>
  <mergeCells count="35">
    <mergeCell ref="A52:B52"/>
    <mergeCell ref="A53:B53"/>
    <mergeCell ref="C50:H50"/>
    <mergeCell ref="C52:H52"/>
    <mergeCell ref="C53:H53"/>
    <mergeCell ref="A1:H1"/>
    <mergeCell ref="E4:F4"/>
    <mergeCell ref="G4:H4"/>
    <mergeCell ref="C3:H3"/>
    <mergeCell ref="A25:H25"/>
    <mergeCell ref="A18:A20"/>
    <mergeCell ref="A12:A14"/>
    <mergeCell ref="A15:A17"/>
    <mergeCell ref="E28:F28"/>
    <mergeCell ref="A21:A23"/>
    <mergeCell ref="C28:D28"/>
    <mergeCell ref="C4:D4"/>
    <mergeCell ref="B3:B5"/>
    <mergeCell ref="A3:A5"/>
    <mergeCell ref="A6:A8"/>
    <mergeCell ref="A9:A11"/>
    <mergeCell ref="I28:J28"/>
    <mergeCell ref="A51:B51"/>
    <mergeCell ref="C51:H51"/>
    <mergeCell ref="C27:J27"/>
    <mergeCell ref="G28:H28"/>
    <mergeCell ref="B27:B29"/>
    <mergeCell ref="A27:A29"/>
    <mergeCell ref="A30:A31"/>
    <mergeCell ref="A32:A33"/>
    <mergeCell ref="A34:A35"/>
    <mergeCell ref="A36:A37"/>
    <mergeCell ref="A50:B50"/>
    <mergeCell ref="A38:A39"/>
    <mergeCell ref="A40:A4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Pavisam_kopā_tab</vt:lpstr>
      <vt:lpstr>Diagramma_pa_gadiem</vt:lpstr>
      <vt:lpstr>Decentralizetie_kopa_tab</vt:lpstr>
      <vt:lpstr>Virs_zem_%_pa_gadiem</vt:lpstr>
      <vt:lpstr>Centralizētie_kopā_tab</vt:lpstr>
      <vt:lpstr>Dec_centr_%_pret_kopā</vt:lpstr>
      <vt:lpstr>Valstiskā_piederība_tab</vt:lpstr>
      <vt:lpstr>Dinamika_valstu_dalījumā</vt:lpstr>
      <vt:lpstr>Procedūras_tab</vt:lpstr>
      <vt:lpstr>Procedūru_dinamika</vt:lpstr>
      <vt:lpstr>CPV_kodi_tab</vt:lpstr>
      <vt:lpstr>CPV_kodi_%_dinamika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2018-05-09T08:07:56Z</cp:lastPrinted>
  <dcterms:created xsi:type="dcterms:W3CDTF">2016-07-04T07:52:49Z</dcterms:created>
  <dcterms:modified xsi:type="dcterms:W3CDTF">2018-05-10T11:45:51Z</dcterms:modified>
</cp:coreProperties>
</file>